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4\24-141_145_149  Eversource Energy Efficiency 3YP 2025-2027\15 Work Papers\Bill Impacts\"/>
    </mc:Choice>
  </mc:AlternateContent>
  <xr:revisionPtr revIDLastSave="0" documentId="13_ncr:1_{203EF26A-7EB7-403D-9254-6A192CEFA20C}" xr6:coauthVersionLast="47" xr6:coauthVersionMax="47" xr10:uidLastSave="{00000000-0000-0000-0000-000000000000}"/>
  <bookViews>
    <workbookView xWindow="-38510" yWindow="-5570" windowWidth="38620" windowHeight="21100" xr2:uid="{060C66E9-82DB-4937-B15B-118BB4EA5E69}"/>
  </bookViews>
  <sheets>
    <sheet name="Summary" sheetId="1" r:id="rId1"/>
    <sheet name="EMA R1" sheetId="2" r:id="rId2"/>
    <sheet name="WMA R1" sheetId="3" r:id="rId3"/>
    <sheet name="EMA R2" sheetId="4" r:id="rId4"/>
    <sheet name="WMA R2" sheetId="5" r:id="rId5"/>
    <sheet name="EMA R3" sheetId="6" r:id="rId6"/>
    <sheet name="WMA R3" sheetId="7" r:id="rId7"/>
    <sheet name="EMA R4" sheetId="8" r:id="rId8"/>
    <sheet name="WMA R4" sheetId="9" r:id="rId9"/>
    <sheet name="WMA 23" sheetId="10" r:id="rId10"/>
    <sheet name="WMA 24" sheetId="11" r:id="rId11"/>
    <sheet name="BOS G1ND" sheetId="12" r:id="rId12"/>
    <sheet name="CAMB G1" sheetId="13" r:id="rId13"/>
    <sheet name="SOUTH G1" sheetId="14" r:id="rId14"/>
    <sheet name="WMA G1ND" sheetId="15" r:id="rId15"/>
    <sheet name="BOS G1D" sheetId="16" r:id="rId16"/>
    <sheet name="WMA G1D" sheetId="17" r:id="rId17"/>
    <sheet name="SOUTH G4" sheetId="18" r:id="rId18"/>
    <sheet name="CAMB G5" sheetId="19" r:id="rId19"/>
    <sheet name="SOUTH G6" sheetId="20" r:id="rId20"/>
    <sheet name="CAMB G6" sheetId="21" r:id="rId21"/>
    <sheet name="SOUTH G7" sheetId="22" r:id="rId22"/>
    <sheet name="BOS T1" sheetId="23" r:id="rId23"/>
    <sheet name="BOS G2 NEMA" sheetId="24" r:id="rId24"/>
    <sheet name="BOS G2 SEMA" sheetId="25" r:id="rId25"/>
    <sheet name="CAMB G2" sheetId="26" r:id="rId26"/>
    <sheet name="SOUTH G2" sheetId="27" r:id="rId27"/>
    <sheet name="WMA G2" sheetId="28" r:id="rId28"/>
    <sheet name="WMA T4" sheetId="29" r:id="rId29"/>
    <sheet name="BOS G3 NEMA" sheetId="30" r:id="rId30"/>
    <sheet name="BOS G3 SEMA" sheetId="31" r:id="rId31"/>
    <sheet name="CAMB G3" sheetId="32" r:id="rId32"/>
    <sheet name="SOUTH G3" sheetId="33" r:id="rId33"/>
    <sheet name="WMA G3" sheetId="34" r:id="rId34"/>
    <sheet name="WMA T5" sheetId="35" r:id="rId35"/>
    <sheet name="Summary -Particpant" sheetId="36" r:id="rId36"/>
  </sheets>
  <definedNames>
    <definedName name="__123Graph_A" localSheetId="35" hidden="1">#REF!</definedName>
    <definedName name="__123Graph_A" hidden="1">#REF!</definedName>
    <definedName name="__123Graph_B" localSheetId="35" hidden="1">#REF!</definedName>
    <definedName name="__123Graph_B" hidden="1">#REF!</definedName>
    <definedName name="__123Graph_D" localSheetId="35" hidden="1">#REF!</definedName>
    <definedName name="__123Graph_D" hidden="1">#REF!</definedName>
    <definedName name="__123Graph_X" localSheetId="35" hidden="1">#REF!</definedName>
    <definedName name="__123Graph_X" hidden="1">#REF!</definedName>
    <definedName name="_Fill" localSheetId="35" hidden="1">#REF!</definedName>
    <definedName name="_Fill" hidden="1">#REF!</definedName>
    <definedName name="_Key1" localSheetId="35" hidden="1">#REF!</definedName>
    <definedName name="_Key1" hidden="1">#REF!</definedName>
    <definedName name="_Order1" hidden="1">255</definedName>
    <definedName name="_Order2" hidden="1">255</definedName>
    <definedName name="_Sort" localSheetId="35" hidden="1">#REF!</definedName>
    <definedName name="_Sort" hidden="1">#REF!</definedName>
    <definedName name="AccessDatabase" hidden="1">"S:\SHARED\HUMANRES\EXCEL.97\Job Tracking\Req input form.mdb"</definedName>
    <definedName name="AS2DocOpenMode" hidden="1">"AS2DocumentEdit"</definedName>
    <definedName name="AS2HasNoAutoHeaderFooter" hidden="1">" "</definedName>
    <definedName name="AS2NamedRange" hidden="1">12</definedName>
    <definedName name="EV__LASTREFTIME__" hidden="1">42136.6929976852</definedName>
    <definedName name="l" hidden="1">0</definedName>
    <definedName name="PopCache_GL_INTERFACE_REFERENCE7" localSheetId="35" hidden="1">#REF!</definedName>
    <definedName name="PopCache_GL_INTERFACE_REFERENCE7" hidden="1">#REF!</definedName>
    <definedName name="_xlnm.Print_Area" localSheetId="15">'BOS G1D'!$A$1:$AB$87</definedName>
    <definedName name="_xlnm.Print_Area" localSheetId="11">'BOS G1ND'!$A$1:$AA$55</definedName>
    <definedName name="_xlnm.Print_Area" localSheetId="23">'BOS G2 NEMA'!$A$1:$AB$87</definedName>
    <definedName name="_xlnm.Print_Area" localSheetId="24">'BOS G2 SEMA'!$A$1:$AB$87</definedName>
    <definedName name="_xlnm.Print_Area" localSheetId="29">'BOS G3 NEMA'!$A$1:$AB$81</definedName>
    <definedName name="_xlnm.Print_Area" localSheetId="30">'BOS G3 SEMA'!$A$1:$AB$81</definedName>
    <definedName name="_xlnm.Print_Area" localSheetId="22">'BOS T1'!$A$1:$AA$75</definedName>
    <definedName name="_xlnm.Print_Area" localSheetId="12">'CAMB G1'!$A$1:$AA$55</definedName>
    <definedName name="_xlnm.Print_Area" localSheetId="25">'CAMB G2'!$A$1:$AB$75</definedName>
    <definedName name="_xlnm.Print_Area" localSheetId="31">'CAMB G3'!$A$1:$AB$72</definedName>
    <definedName name="_xlnm.Print_Area" localSheetId="18">'CAMB G5'!$A$1:$AA$55</definedName>
    <definedName name="_xlnm.Print_Area" localSheetId="20">'CAMB G6'!$A$1:$AA$56</definedName>
    <definedName name="_xlnm.Print_Area" localSheetId="1">'EMA R1'!$A$1:$AA$57</definedName>
    <definedName name="_xlnm.Print_Area" localSheetId="3">'EMA R2'!$A$1:$AA$58</definedName>
    <definedName name="_xlnm.Print_Area" localSheetId="5">'EMA R3'!$A$1:$AA$57</definedName>
    <definedName name="_xlnm.Print_Area" localSheetId="7">'EMA R4'!$A$1:$AA$58</definedName>
    <definedName name="_xlnm.Print_Area" localSheetId="13">'SOUTH G1'!$A$1:$AA$55</definedName>
    <definedName name="_xlnm.Print_Area" localSheetId="26">'SOUTH G2'!$A$1:$AB$75</definedName>
    <definedName name="_xlnm.Print_Area" localSheetId="32">'SOUTH G3'!$A$1:$AB$69</definedName>
    <definedName name="_xlnm.Print_Area" localSheetId="17">'SOUTH G4'!$A$1:$AB$70</definedName>
    <definedName name="_xlnm.Print_Area" localSheetId="19">'SOUTH G6'!$A$1:$AA$50</definedName>
    <definedName name="_xlnm.Print_Area" localSheetId="21">'SOUTH G7'!$A$1:$AB$73</definedName>
    <definedName name="_xlnm.Print_Area" localSheetId="9">'WMA 23'!$A$1:$AA$52</definedName>
    <definedName name="_xlnm.Print_Area" localSheetId="10">'WMA 24'!$A$1:$AB$73</definedName>
    <definedName name="_xlnm.Print_Area" localSheetId="16">'WMA G1D'!$A$1:$AB$73</definedName>
    <definedName name="_xlnm.Print_Area" localSheetId="14">'WMA G1ND'!$A$1:$AA$54</definedName>
    <definedName name="_xlnm.Print_Area" localSheetId="27">'WMA G2'!$A$1:$AB$71</definedName>
    <definedName name="_xlnm.Print_Area" localSheetId="33">'WMA G3'!$A$1:$AB$77</definedName>
    <definedName name="_xlnm.Print_Area" localSheetId="2">'WMA R1'!$A$1:$AA$57</definedName>
    <definedName name="_xlnm.Print_Area" localSheetId="4">'WMA R2'!$A$1:$AA$58</definedName>
    <definedName name="_xlnm.Print_Area" localSheetId="6">'WMA R3'!$A$1:$AA$57</definedName>
    <definedName name="_xlnm.Print_Area" localSheetId="8">'WMA R4'!$A$1:$AA$58</definedName>
    <definedName name="_xlnm.Print_Area" localSheetId="28">'WMA T4'!$A$1:$AB$72</definedName>
    <definedName name="_xlnm.Print_Area" localSheetId="34">'WMA T5'!$A$1:$AB$74</definedName>
    <definedName name="_xlnm.Print_Titles" localSheetId="0">Summary!$1:$11</definedName>
    <definedName name="_xlnm.Print_Titles" localSheetId="35">'Summary -Particpant'!$A:$D,'Summary -Particpant'!$1:$12</definedName>
    <definedName name="wrn.CGAC." localSheetId="35" hidden="1">{"FormII",#N/A,FALSE,"Main";"GAF Summary",#N/A,FALSE,"Main";"Sendout",#N/A,FALSE,"Main";"Sales",#N/A,FALSE,"Main";"Commodity",#N/A,FALSE,"Main";"Remaining",#N/A,FALSE,"Main";"Demand",#N/A,FALSE,"Main";"Base",#N/A,FALSE,"Main";"NewCGA",#N/A,FALSE,"Main";"Working Capital",#N/A,FALSE,"Main";"IS&amp;CR",#N/A,FALSE,"Main";"IS&amp;CR Margin Cr.",#N/A,FALSE,"Main";"Sept CGA",#N/A,FALSE,"Main";"Adders",#N/A,FALSE,"Main";"IFC",#N/A,FALSE,"Main";"Refunds",#N/A,FALSE,"Main";"Bad Debt",#N/A,FALSE,"Main"}</definedName>
    <definedName name="wrn.CGAC." hidden="1">{"FormII",#N/A,FALSE,"Main";"GAF Summary",#N/A,FALSE,"Main";"Sendout",#N/A,FALSE,"Main";"Sales",#N/A,FALSE,"Main";"Commodity",#N/A,FALSE,"Main";"Remaining",#N/A,FALSE,"Main";"Demand",#N/A,FALSE,"Main";"Base",#N/A,FALSE,"Main";"NewCGA",#N/A,FALSE,"Main";"Working Capital",#N/A,FALSE,"Main";"IS&amp;CR",#N/A,FALSE,"Main";"IS&amp;CR Margin Cr.",#N/A,FALSE,"Main";"Sept CGA",#N/A,FALSE,"Main";"Adders",#N/A,FALSE,"Main";"IFC",#N/A,FALSE,"Main";"Refunds",#N/A,FALSE,"Main";"Bad Debt",#N/A,FALSE,"Main"}</definedName>
    <definedName name="wrn.Temp." localSheetId="35" hidden="1">{"Working Capital",#N/A,FALSE,"Main";"Sept CGA",#N/A,FALSE,"Main";"Adders",#N/A,FALSE,"Main";"Bad Debt",#N/A,FALSE,"Main"}</definedName>
    <definedName name="wrn.Temp." hidden="1">{"Working Capital",#N/A,FALSE,"Main";"Sept CGA",#N/A,FALSE,"Main";"Adders",#N/A,FALSE,"Main";"Bad Debt",#N/A,FALSE,"Main"}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07" i="36" l="1"/>
  <c r="AR107" i="36" s="1"/>
  <c r="AM107" i="36"/>
  <c r="AN107" i="36" s="1"/>
  <c r="AJ107" i="36"/>
  <c r="AE107" i="36"/>
  <c r="AF107" i="36" s="1"/>
  <c r="AA107" i="36"/>
  <c r="AB107" i="36" s="1"/>
  <c r="X107" i="36"/>
  <c r="S107" i="36"/>
  <c r="T107" i="36" s="1"/>
  <c r="O107" i="36"/>
  <c r="P107" i="36" s="1"/>
  <c r="L107" i="36"/>
  <c r="AQ106" i="36"/>
  <c r="AR106" i="36" s="1"/>
  <c r="AM106" i="36"/>
  <c r="AN106" i="36" s="1"/>
  <c r="AJ106" i="36"/>
  <c r="AE106" i="36"/>
  <c r="AF106" i="36" s="1"/>
  <c r="AB106" i="36"/>
  <c r="AA106" i="36"/>
  <c r="X106" i="36"/>
  <c r="S106" i="36"/>
  <c r="T106" i="36" s="1"/>
  <c r="O106" i="36"/>
  <c r="P106" i="36" s="1"/>
  <c r="L106" i="36"/>
  <c r="AR105" i="36"/>
  <c r="AQ105" i="36"/>
  <c r="AN105" i="36"/>
  <c r="AM105" i="36"/>
  <c r="AJ105" i="36"/>
  <c r="AE105" i="36"/>
  <c r="AF105" i="36" s="1"/>
  <c r="AA105" i="36"/>
  <c r="AB105" i="36" s="1"/>
  <c r="X105" i="36"/>
  <c r="S105" i="36"/>
  <c r="T105" i="36" s="1"/>
  <c r="O105" i="36"/>
  <c r="P105" i="36" s="1"/>
  <c r="L105" i="36"/>
  <c r="AQ103" i="36"/>
  <c r="AR103" i="36" s="1"/>
  <c r="AM103" i="36"/>
  <c r="AN103" i="36" s="1"/>
  <c r="AJ103" i="36"/>
  <c r="AE103" i="36"/>
  <c r="AF103" i="36" s="1"/>
  <c r="AA103" i="36"/>
  <c r="AB103" i="36" s="1"/>
  <c r="X103" i="36"/>
  <c r="T103" i="36"/>
  <c r="S103" i="36"/>
  <c r="O103" i="36"/>
  <c r="P103" i="36" s="1"/>
  <c r="L103" i="36"/>
  <c r="AQ102" i="36"/>
  <c r="AR102" i="36" s="1"/>
  <c r="AM102" i="36"/>
  <c r="AN102" i="36" s="1"/>
  <c r="AJ102" i="36"/>
  <c r="AE102" i="36"/>
  <c r="AF102" i="36" s="1"/>
  <c r="AA102" i="36"/>
  <c r="AB102" i="36" s="1"/>
  <c r="X102" i="36"/>
  <c r="S102" i="36"/>
  <c r="T102" i="36" s="1"/>
  <c r="O102" i="36"/>
  <c r="P102" i="36" s="1"/>
  <c r="L102" i="36"/>
  <c r="AQ101" i="36"/>
  <c r="AR101" i="36" s="1"/>
  <c r="AN101" i="36"/>
  <c r="AM101" i="36"/>
  <c r="AJ101" i="36"/>
  <c r="AE101" i="36"/>
  <c r="AF101" i="36" s="1"/>
  <c r="AA101" i="36"/>
  <c r="AB101" i="36" s="1"/>
  <c r="X101" i="36"/>
  <c r="S101" i="36"/>
  <c r="T101" i="36" s="1"/>
  <c r="O101" i="36"/>
  <c r="P101" i="36" s="1"/>
  <c r="L101" i="36"/>
  <c r="AQ99" i="36"/>
  <c r="AR99" i="36" s="1"/>
  <c r="AM99" i="36"/>
  <c r="AN99" i="36" s="1"/>
  <c r="AJ99" i="36"/>
  <c r="AE99" i="36"/>
  <c r="AF99" i="36" s="1"/>
  <c r="AA99" i="36"/>
  <c r="AB99" i="36" s="1"/>
  <c r="X99" i="36"/>
  <c r="S99" i="36"/>
  <c r="T99" i="36" s="1"/>
  <c r="O99" i="36"/>
  <c r="P99" i="36" s="1"/>
  <c r="L99" i="36"/>
  <c r="AQ98" i="36"/>
  <c r="AR98" i="36" s="1"/>
  <c r="AM98" i="36"/>
  <c r="AN98" i="36" s="1"/>
  <c r="AJ98" i="36"/>
  <c r="AF98" i="36"/>
  <c r="AE98" i="36"/>
  <c r="AA98" i="36"/>
  <c r="AB98" i="36" s="1"/>
  <c r="X98" i="36"/>
  <c r="S98" i="36"/>
  <c r="T98" i="36" s="1"/>
  <c r="O98" i="36"/>
  <c r="P98" i="36" s="1"/>
  <c r="L98" i="36"/>
  <c r="AR96" i="36"/>
  <c r="AQ96" i="36"/>
  <c r="AM96" i="36"/>
  <c r="AN96" i="36" s="1"/>
  <c r="AJ96" i="36"/>
  <c r="AE96" i="36"/>
  <c r="AF96" i="36" s="1"/>
  <c r="AA96" i="36"/>
  <c r="AB96" i="36" s="1"/>
  <c r="X96" i="36"/>
  <c r="S96" i="36"/>
  <c r="T96" i="36" s="1"/>
  <c r="P96" i="36"/>
  <c r="O96" i="36"/>
  <c r="L96" i="36"/>
  <c r="AQ95" i="36"/>
  <c r="AR95" i="36" s="1"/>
  <c r="AM95" i="36"/>
  <c r="AN95" i="36" s="1"/>
  <c r="AJ95" i="36"/>
  <c r="AE95" i="36"/>
  <c r="AF95" i="36" s="1"/>
  <c r="AA95" i="36"/>
  <c r="AB95" i="36" s="1"/>
  <c r="X95" i="36"/>
  <c r="S95" i="36"/>
  <c r="T95" i="36" s="1"/>
  <c r="O95" i="36"/>
  <c r="P95" i="36" s="1"/>
  <c r="L95" i="36"/>
  <c r="AQ94" i="36"/>
  <c r="AR94" i="36" s="1"/>
  <c r="AM94" i="36"/>
  <c r="AN94" i="36" s="1"/>
  <c r="AJ94" i="36"/>
  <c r="AF94" i="36"/>
  <c r="AE94" i="36"/>
  <c r="AA94" i="36"/>
  <c r="AB94" i="36" s="1"/>
  <c r="X94" i="36"/>
  <c r="S94" i="36"/>
  <c r="T94" i="36" s="1"/>
  <c r="O94" i="36"/>
  <c r="P94" i="36" s="1"/>
  <c r="L94" i="36"/>
  <c r="AR92" i="36"/>
  <c r="AQ92" i="36"/>
  <c r="AM92" i="36"/>
  <c r="AN92" i="36" s="1"/>
  <c r="AJ92" i="36"/>
  <c r="AE92" i="36"/>
  <c r="AF92" i="36" s="1"/>
  <c r="AA92" i="36"/>
  <c r="AB92" i="36" s="1"/>
  <c r="X92" i="36"/>
  <c r="S92" i="36"/>
  <c r="T92" i="36" s="1"/>
  <c r="P92" i="36"/>
  <c r="O92" i="36"/>
  <c r="L92" i="36"/>
  <c r="AQ90" i="36"/>
  <c r="AR90" i="36" s="1"/>
  <c r="AM90" i="36"/>
  <c r="AN90" i="36" s="1"/>
  <c r="AJ90" i="36"/>
  <c r="AE90" i="36"/>
  <c r="AF90" i="36" s="1"/>
  <c r="AB90" i="36"/>
  <c r="AA90" i="36"/>
  <c r="X90" i="36"/>
  <c r="S90" i="36"/>
  <c r="T90" i="36" s="1"/>
  <c r="O90" i="36"/>
  <c r="P90" i="36" s="1"/>
  <c r="L90" i="36"/>
  <c r="AQ88" i="36"/>
  <c r="AR88" i="36" s="1"/>
  <c r="AN88" i="36"/>
  <c r="AM88" i="36"/>
  <c r="AJ88" i="36"/>
  <c r="AE88" i="36"/>
  <c r="AF88" i="36" s="1"/>
  <c r="AA88" i="36"/>
  <c r="AB88" i="36" s="1"/>
  <c r="X88" i="36"/>
  <c r="S88" i="36"/>
  <c r="T88" i="36" s="1"/>
  <c r="O88" i="36"/>
  <c r="P88" i="36" s="1"/>
  <c r="L88" i="36"/>
  <c r="AQ86" i="36"/>
  <c r="AR86" i="36" s="1"/>
  <c r="AM86" i="36"/>
  <c r="AN86" i="36" s="1"/>
  <c r="AJ86" i="36"/>
  <c r="AE86" i="36"/>
  <c r="AF86" i="36" s="1"/>
  <c r="AA86" i="36"/>
  <c r="AB86" i="36" s="1"/>
  <c r="X86" i="36"/>
  <c r="S86" i="36"/>
  <c r="T86" i="36" s="1"/>
  <c r="O86" i="36"/>
  <c r="P86" i="36" s="1"/>
  <c r="L86" i="36"/>
  <c r="AQ85" i="36"/>
  <c r="AR85" i="36" s="1"/>
  <c r="AN85" i="36"/>
  <c r="AM85" i="36"/>
  <c r="AJ85" i="36"/>
  <c r="AF85" i="36"/>
  <c r="AE85" i="36"/>
  <c r="AA85" i="36"/>
  <c r="AB85" i="36" s="1"/>
  <c r="X85" i="36"/>
  <c r="S85" i="36"/>
  <c r="T85" i="36" s="1"/>
  <c r="O85" i="36"/>
  <c r="P85" i="36" s="1"/>
  <c r="L85" i="36"/>
  <c r="AR84" i="36"/>
  <c r="AQ84" i="36"/>
  <c r="AM84" i="36"/>
  <c r="AN84" i="36" s="1"/>
  <c r="AJ84" i="36"/>
  <c r="AE84" i="36"/>
  <c r="AF84" i="36" s="1"/>
  <c r="AA84" i="36"/>
  <c r="AB84" i="36" s="1"/>
  <c r="X84" i="36"/>
  <c r="S84" i="36"/>
  <c r="T84" i="36" s="1"/>
  <c r="P84" i="36"/>
  <c r="O84" i="36"/>
  <c r="L84" i="36"/>
  <c r="AQ82" i="36"/>
  <c r="AR82" i="36" s="1"/>
  <c r="AM82" i="36"/>
  <c r="AN82" i="36" s="1"/>
  <c r="AJ82" i="36"/>
  <c r="AF82" i="36"/>
  <c r="AE82" i="36"/>
  <c r="AB82" i="36"/>
  <c r="AA82" i="36"/>
  <c r="X82" i="36"/>
  <c r="S82" i="36"/>
  <c r="T82" i="36" s="1"/>
  <c r="O82" i="36"/>
  <c r="P82" i="36" s="1"/>
  <c r="L82" i="36"/>
  <c r="AQ81" i="36"/>
  <c r="AR81" i="36" s="1"/>
  <c r="AM81" i="36"/>
  <c r="AN81" i="36" s="1"/>
  <c r="AJ81" i="36"/>
  <c r="AE81" i="36"/>
  <c r="AF81" i="36" s="1"/>
  <c r="AA81" i="36"/>
  <c r="AB81" i="36" s="1"/>
  <c r="X81" i="36"/>
  <c r="S81" i="36"/>
  <c r="T81" i="36" s="1"/>
  <c r="O81" i="36"/>
  <c r="P81" i="36" s="1"/>
  <c r="L81" i="36"/>
  <c r="AQ80" i="36"/>
  <c r="AR80" i="36" s="1"/>
  <c r="AM80" i="36"/>
  <c r="AN80" i="36" s="1"/>
  <c r="AJ80" i="36"/>
  <c r="AE80" i="36"/>
  <c r="AF80" i="36" s="1"/>
  <c r="AA80" i="36"/>
  <c r="AB80" i="36" s="1"/>
  <c r="X80" i="36"/>
  <c r="S80" i="36"/>
  <c r="T80" i="36" s="1"/>
  <c r="O80" i="36"/>
  <c r="P80" i="36" s="1"/>
  <c r="L80" i="36"/>
  <c r="AQ78" i="36"/>
  <c r="AR78" i="36" s="1"/>
  <c r="AN78" i="36"/>
  <c r="AM78" i="36"/>
  <c r="AJ78" i="36"/>
  <c r="AE78" i="36"/>
  <c r="AF78" i="36" s="1"/>
  <c r="AA78" i="36"/>
  <c r="AB78" i="36" s="1"/>
  <c r="X78" i="36"/>
  <c r="S78" i="36"/>
  <c r="T78" i="36" s="1"/>
  <c r="O78" i="36"/>
  <c r="P78" i="36" s="1"/>
  <c r="L78" i="36"/>
  <c r="AQ77" i="36"/>
  <c r="AR77" i="36" s="1"/>
  <c r="AN77" i="36"/>
  <c r="AM77" i="36"/>
  <c r="AJ77" i="36"/>
  <c r="AE77" i="36"/>
  <c r="AF77" i="36" s="1"/>
  <c r="AA77" i="36"/>
  <c r="AB77" i="36" s="1"/>
  <c r="X77" i="36"/>
  <c r="S77" i="36"/>
  <c r="T77" i="36" s="1"/>
  <c r="O77" i="36"/>
  <c r="P77" i="36" s="1"/>
  <c r="L77" i="36"/>
  <c r="AQ76" i="36"/>
  <c r="AR76" i="36" s="1"/>
  <c r="AM76" i="36"/>
  <c r="AN76" i="36" s="1"/>
  <c r="AJ76" i="36"/>
  <c r="AE76" i="36"/>
  <c r="AF76" i="36" s="1"/>
  <c r="AA76" i="36"/>
  <c r="AB76" i="36" s="1"/>
  <c r="X76" i="36"/>
  <c r="T76" i="36"/>
  <c r="S76" i="36"/>
  <c r="O76" i="36"/>
  <c r="P76" i="36" s="1"/>
  <c r="L76" i="36"/>
  <c r="AQ74" i="36"/>
  <c r="AR74" i="36" s="1"/>
  <c r="AN74" i="36"/>
  <c r="AM74" i="36"/>
  <c r="AJ74" i="36"/>
  <c r="AF74" i="36"/>
  <c r="AE74" i="36"/>
  <c r="AA74" i="36"/>
  <c r="AB74" i="36" s="1"/>
  <c r="X74" i="36"/>
  <c r="S74" i="36"/>
  <c r="T74" i="36" s="1"/>
  <c r="O74" i="36"/>
  <c r="P74" i="36" s="1"/>
  <c r="L74" i="36"/>
  <c r="AQ73" i="36"/>
  <c r="AR73" i="36" s="1"/>
  <c r="AM73" i="36"/>
  <c r="AN73" i="36" s="1"/>
  <c r="AJ73" i="36"/>
  <c r="AE73" i="36"/>
  <c r="AF73" i="36" s="1"/>
  <c r="AA73" i="36"/>
  <c r="AB73" i="36" s="1"/>
  <c r="X73" i="36"/>
  <c r="S73" i="36"/>
  <c r="T73" i="36" s="1"/>
  <c r="O73" i="36"/>
  <c r="P73" i="36" s="1"/>
  <c r="L73" i="36"/>
  <c r="AQ72" i="36"/>
  <c r="AR72" i="36" s="1"/>
  <c r="AM72" i="36"/>
  <c r="AN72" i="36" s="1"/>
  <c r="AJ72" i="36"/>
  <c r="AF72" i="36"/>
  <c r="AE72" i="36"/>
  <c r="AA72" i="36"/>
  <c r="AB72" i="36" s="1"/>
  <c r="X72" i="36"/>
  <c r="S72" i="36"/>
  <c r="T72" i="36" s="1"/>
  <c r="O72" i="36"/>
  <c r="P72" i="36" s="1"/>
  <c r="L72" i="36"/>
  <c r="AQ70" i="36"/>
  <c r="AR70" i="36" s="1"/>
  <c r="AN70" i="36"/>
  <c r="AM70" i="36"/>
  <c r="AJ70" i="36"/>
  <c r="AE70" i="36"/>
  <c r="AF70" i="36" s="1"/>
  <c r="AA70" i="36"/>
  <c r="AB70" i="36" s="1"/>
  <c r="X70" i="36"/>
  <c r="S70" i="36"/>
  <c r="T70" i="36" s="1"/>
  <c r="O70" i="36"/>
  <c r="P70" i="36" s="1"/>
  <c r="L70" i="36"/>
  <c r="AR69" i="36"/>
  <c r="AQ69" i="36"/>
  <c r="AM69" i="36"/>
  <c r="AN69" i="36" s="1"/>
  <c r="AJ69" i="36"/>
  <c r="AE69" i="36"/>
  <c r="AF69" i="36" s="1"/>
  <c r="AA69" i="36"/>
  <c r="AB69" i="36" s="1"/>
  <c r="X69" i="36"/>
  <c r="S69" i="36"/>
  <c r="T69" i="36" s="1"/>
  <c r="P69" i="36"/>
  <c r="O69" i="36"/>
  <c r="L69" i="36"/>
  <c r="AQ68" i="36"/>
  <c r="AR68" i="36" s="1"/>
  <c r="AM68" i="36"/>
  <c r="AN68" i="36" s="1"/>
  <c r="AJ68" i="36"/>
  <c r="AF68" i="36"/>
  <c r="AE68" i="36"/>
  <c r="AA68" i="36"/>
  <c r="AB68" i="36" s="1"/>
  <c r="X68" i="36"/>
  <c r="S68" i="36"/>
  <c r="T68" i="36" s="1"/>
  <c r="O68" i="36"/>
  <c r="P68" i="36" s="1"/>
  <c r="L68" i="36"/>
  <c r="AQ66" i="36"/>
  <c r="AR66" i="36" s="1"/>
  <c r="AM66" i="36"/>
  <c r="AN66" i="36" s="1"/>
  <c r="AJ66" i="36"/>
  <c r="AE66" i="36"/>
  <c r="AF66" i="36" s="1"/>
  <c r="AA66" i="36"/>
  <c r="AB66" i="36" s="1"/>
  <c r="X66" i="36"/>
  <c r="S66" i="36"/>
  <c r="T66" i="36" s="1"/>
  <c r="O66" i="36"/>
  <c r="P66" i="36" s="1"/>
  <c r="L66" i="36"/>
  <c r="AQ65" i="36"/>
  <c r="AR65" i="36" s="1"/>
  <c r="AM65" i="36"/>
  <c r="AN65" i="36" s="1"/>
  <c r="AJ65" i="36"/>
  <c r="AE65" i="36"/>
  <c r="AF65" i="36" s="1"/>
  <c r="AA65" i="36"/>
  <c r="AB65" i="36" s="1"/>
  <c r="X65" i="36"/>
  <c r="S65" i="36"/>
  <c r="T65" i="36" s="1"/>
  <c r="O65" i="36"/>
  <c r="P65" i="36" s="1"/>
  <c r="L65" i="36"/>
  <c r="AQ64" i="36"/>
  <c r="AR64" i="36" s="1"/>
  <c r="AM64" i="36"/>
  <c r="AN64" i="36" s="1"/>
  <c r="AJ64" i="36"/>
  <c r="AF64" i="36"/>
  <c r="AE64" i="36"/>
  <c r="AB64" i="36"/>
  <c r="AA64" i="36"/>
  <c r="X64" i="36"/>
  <c r="S64" i="36"/>
  <c r="T64" i="36" s="1"/>
  <c r="O64" i="36"/>
  <c r="P64" i="36" s="1"/>
  <c r="L64" i="36"/>
  <c r="AR62" i="36"/>
  <c r="AQ62" i="36"/>
  <c r="AN62" i="36"/>
  <c r="AM62" i="36"/>
  <c r="AJ62" i="36"/>
  <c r="AE62" i="36"/>
  <c r="AF62" i="36" s="1"/>
  <c r="AA62" i="36"/>
  <c r="AB62" i="36" s="1"/>
  <c r="X62" i="36"/>
  <c r="S62" i="36"/>
  <c r="T62" i="36" s="1"/>
  <c r="O62" i="36"/>
  <c r="P62" i="36" s="1"/>
  <c r="L62" i="36"/>
  <c r="AQ61" i="36"/>
  <c r="AR61" i="36" s="1"/>
  <c r="AM61" i="36"/>
  <c r="AN61" i="36" s="1"/>
  <c r="AJ61" i="36"/>
  <c r="AE61" i="36"/>
  <c r="AF61" i="36" s="1"/>
  <c r="AA61" i="36"/>
  <c r="AB61" i="36" s="1"/>
  <c r="X61" i="36"/>
  <c r="T61" i="36"/>
  <c r="S61" i="36"/>
  <c r="O61" i="36"/>
  <c r="P61" i="36" s="1"/>
  <c r="L61" i="36"/>
  <c r="AQ60" i="36"/>
  <c r="AR60" i="36" s="1"/>
  <c r="AM60" i="36"/>
  <c r="AN60" i="36" s="1"/>
  <c r="AJ60" i="36"/>
  <c r="AE60" i="36"/>
  <c r="AF60" i="36" s="1"/>
  <c r="AA60" i="36"/>
  <c r="AB60" i="36" s="1"/>
  <c r="X60" i="36"/>
  <c r="S60" i="36"/>
  <c r="T60" i="36" s="1"/>
  <c r="O60" i="36"/>
  <c r="P60" i="36" s="1"/>
  <c r="L60" i="36"/>
  <c r="AQ58" i="36"/>
  <c r="AR58" i="36" s="1"/>
  <c r="AM58" i="36"/>
  <c r="AN58" i="36" s="1"/>
  <c r="AJ58" i="36"/>
  <c r="AE58" i="36"/>
  <c r="AF58" i="36" s="1"/>
  <c r="AA58" i="36"/>
  <c r="AB58" i="36" s="1"/>
  <c r="X58" i="36"/>
  <c r="S58" i="36"/>
  <c r="T58" i="36" s="1"/>
  <c r="O58" i="36"/>
  <c r="P58" i="36" s="1"/>
  <c r="L58" i="36"/>
  <c r="AQ57" i="36"/>
  <c r="AR57" i="36" s="1"/>
  <c r="AM57" i="36"/>
  <c r="AN57" i="36" s="1"/>
  <c r="AJ57" i="36"/>
  <c r="AE57" i="36"/>
  <c r="AF57" i="36" s="1"/>
  <c r="AA57" i="36"/>
  <c r="AB57" i="36" s="1"/>
  <c r="X57" i="36"/>
  <c r="S57" i="36"/>
  <c r="T57" i="36" s="1"/>
  <c r="O57" i="36"/>
  <c r="P57" i="36" s="1"/>
  <c r="L57" i="36"/>
  <c r="AQ56" i="36"/>
  <c r="AR56" i="36" s="1"/>
  <c r="AM56" i="36"/>
  <c r="AN56" i="36" s="1"/>
  <c r="AJ56" i="36"/>
  <c r="AF56" i="36"/>
  <c r="AE56" i="36"/>
  <c r="AA56" i="36"/>
  <c r="AB56" i="36" s="1"/>
  <c r="X56" i="36"/>
  <c r="S56" i="36"/>
  <c r="T56" i="36" s="1"/>
  <c r="O56" i="36"/>
  <c r="P56" i="36" s="1"/>
  <c r="L56" i="36"/>
  <c r="AR54" i="36"/>
  <c r="AQ54" i="36"/>
  <c r="AM54" i="36"/>
  <c r="AN54" i="36" s="1"/>
  <c r="AJ54" i="36"/>
  <c r="AE54" i="36"/>
  <c r="AF54" i="36" s="1"/>
  <c r="AA54" i="36"/>
  <c r="AB54" i="36" s="1"/>
  <c r="X54" i="36"/>
  <c r="S54" i="36"/>
  <c r="T54" i="36" s="1"/>
  <c r="P54" i="36"/>
  <c r="O54" i="36"/>
  <c r="L54" i="36"/>
  <c r="AQ53" i="36"/>
  <c r="AR53" i="36" s="1"/>
  <c r="AM53" i="36"/>
  <c r="AN53" i="36" s="1"/>
  <c r="AJ53" i="36"/>
  <c r="AE53" i="36"/>
  <c r="AF53" i="36" s="1"/>
  <c r="AA53" i="36"/>
  <c r="AB53" i="36" s="1"/>
  <c r="X53" i="36"/>
  <c r="S53" i="36"/>
  <c r="T53" i="36" s="1"/>
  <c r="O53" i="36"/>
  <c r="P53" i="36" s="1"/>
  <c r="L53" i="36"/>
  <c r="AR52" i="36"/>
  <c r="AQ52" i="36"/>
  <c r="AN52" i="36"/>
  <c r="AM52" i="36"/>
  <c r="AJ52" i="36"/>
  <c r="AE52" i="36"/>
  <c r="AF52" i="36" s="1"/>
  <c r="AA52" i="36"/>
  <c r="AB52" i="36" s="1"/>
  <c r="X52" i="36"/>
  <c r="S52" i="36"/>
  <c r="T52" i="36" s="1"/>
  <c r="O52" i="36"/>
  <c r="P52" i="36" s="1"/>
  <c r="L52" i="36"/>
  <c r="AQ50" i="36"/>
  <c r="AR50" i="36" s="1"/>
  <c r="AM50" i="36"/>
  <c r="AN50" i="36" s="1"/>
  <c r="AJ50" i="36"/>
  <c r="AE50" i="36"/>
  <c r="AF50" i="36" s="1"/>
  <c r="AA50" i="36"/>
  <c r="AB50" i="36" s="1"/>
  <c r="X50" i="36"/>
  <c r="S50" i="36"/>
  <c r="T50" i="36" s="1"/>
  <c r="O50" i="36"/>
  <c r="P50" i="36" s="1"/>
  <c r="L50" i="36"/>
  <c r="AQ49" i="36"/>
  <c r="AR49" i="36" s="1"/>
  <c r="AM49" i="36"/>
  <c r="AN49" i="36" s="1"/>
  <c r="AJ49" i="36"/>
  <c r="AE49" i="36"/>
  <c r="AF49" i="36" s="1"/>
  <c r="AB49" i="36"/>
  <c r="AA49" i="36"/>
  <c r="X49" i="36"/>
  <c r="S49" i="36"/>
  <c r="T49" i="36" s="1"/>
  <c r="O49" i="36"/>
  <c r="P49" i="36" s="1"/>
  <c r="L49" i="36"/>
  <c r="AQ48" i="36"/>
  <c r="AR48" i="36" s="1"/>
  <c r="AN48" i="36"/>
  <c r="AM48" i="36"/>
  <c r="AJ48" i="36"/>
  <c r="AE48" i="36"/>
  <c r="AF48" i="36" s="1"/>
  <c r="AA48" i="36"/>
  <c r="AB48" i="36" s="1"/>
  <c r="X48" i="36"/>
  <c r="S48" i="36"/>
  <c r="T48" i="36" s="1"/>
  <c r="O48" i="36"/>
  <c r="P48" i="36" s="1"/>
  <c r="L48" i="36"/>
  <c r="AQ46" i="36"/>
  <c r="AR46" i="36" s="1"/>
  <c r="AM46" i="36"/>
  <c r="AN46" i="36" s="1"/>
  <c r="AJ46" i="36"/>
  <c r="AE46" i="36"/>
  <c r="AF46" i="36" s="1"/>
  <c r="AA46" i="36"/>
  <c r="AB46" i="36" s="1"/>
  <c r="X46" i="36"/>
  <c r="T46" i="36"/>
  <c r="S46" i="36"/>
  <c r="O46" i="36"/>
  <c r="P46" i="36" s="1"/>
  <c r="L46" i="36"/>
  <c r="AQ45" i="36"/>
  <c r="AR45" i="36" s="1"/>
  <c r="AN45" i="36"/>
  <c r="AM45" i="36"/>
  <c r="AJ45" i="36"/>
  <c r="AE45" i="36"/>
  <c r="AF45" i="36" s="1"/>
  <c r="AA45" i="36"/>
  <c r="AB45" i="36" s="1"/>
  <c r="X45" i="36"/>
  <c r="S45" i="36"/>
  <c r="T45" i="36" s="1"/>
  <c r="O45" i="36"/>
  <c r="P45" i="36" s="1"/>
  <c r="L45" i="36"/>
  <c r="AQ44" i="36"/>
  <c r="AR44" i="36" s="1"/>
  <c r="AN44" i="36"/>
  <c r="AM44" i="36"/>
  <c r="AJ44" i="36"/>
  <c r="AE44" i="36"/>
  <c r="AF44" i="36" s="1"/>
  <c r="AA44" i="36"/>
  <c r="AB44" i="36" s="1"/>
  <c r="X44" i="36"/>
  <c r="S44" i="36"/>
  <c r="T44" i="36" s="1"/>
  <c r="O44" i="36"/>
  <c r="P44" i="36" s="1"/>
  <c r="L44" i="36"/>
  <c r="AQ42" i="36"/>
  <c r="AR42" i="36" s="1"/>
  <c r="AM42" i="36"/>
  <c r="AN42" i="36" s="1"/>
  <c r="AJ42" i="36"/>
  <c r="AE42" i="36"/>
  <c r="AF42" i="36" s="1"/>
  <c r="AA42" i="36"/>
  <c r="AB42" i="36" s="1"/>
  <c r="X42" i="36"/>
  <c r="S42" i="36"/>
  <c r="T42" i="36" s="1"/>
  <c r="O42" i="36"/>
  <c r="P42" i="36" s="1"/>
  <c r="L42" i="36"/>
  <c r="AQ41" i="36"/>
  <c r="AR41" i="36" s="1"/>
  <c r="AN41" i="36"/>
  <c r="AM41" i="36"/>
  <c r="AJ41" i="36"/>
  <c r="AF41" i="36"/>
  <c r="AE41" i="36"/>
  <c r="AA41" i="36"/>
  <c r="AB41" i="36" s="1"/>
  <c r="X41" i="36"/>
  <c r="S41" i="36"/>
  <c r="T41" i="36" s="1"/>
  <c r="O41" i="36"/>
  <c r="P41" i="36" s="1"/>
  <c r="L41" i="36"/>
  <c r="AQ40" i="36"/>
  <c r="AR40" i="36" s="1"/>
  <c r="AM40" i="36"/>
  <c r="AN40" i="36" s="1"/>
  <c r="AJ40" i="36"/>
  <c r="AE40" i="36"/>
  <c r="AF40" i="36" s="1"/>
  <c r="AA40" i="36"/>
  <c r="AB40" i="36" s="1"/>
  <c r="X40" i="36"/>
  <c r="S40" i="36"/>
  <c r="T40" i="36" s="1"/>
  <c r="O40" i="36"/>
  <c r="P40" i="36" s="1"/>
  <c r="L40" i="36"/>
  <c r="AQ38" i="36"/>
  <c r="AR38" i="36" s="1"/>
  <c r="AM38" i="36"/>
  <c r="AN38" i="36" s="1"/>
  <c r="AJ38" i="36"/>
  <c r="AE38" i="36"/>
  <c r="AF38" i="36" s="1"/>
  <c r="AA38" i="36"/>
  <c r="AB38" i="36" s="1"/>
  <c r="X38" i="36"/>
  <c r="S38" i="36"/>
  <c r="T38" i="36" s="1"/>
  <c r="O38" i="36"/>
  <c r="P38" i="36" s="1"/>
  <c r="L38" i="36"/>
  <c r="AR37" i="36"/>
  <c r="AQ37" i="36"/>
  <c r="AN37" i="36"/>
  <c r="AM37" i="36"/>
  <c r="AJ37" i="36"/>
  <c r="AE37" i="36"/>
  <c r="AF37" i="36" s="1"/>
  <c r="AA37" i="36"/>
  <c r="AB37" i="36" s="1"/>
  <c r="X37" i="36"/>
  <c r="S37" i="36"/>
  <c r="T37" i="36" s="1"/>
  <c r="O37" i="36"/>
  <c r="P37" i="36" s="1"/>
  <c r="L37" i="36"/>
  <c r="AR36" i="36"/>
  <c r="AQ36" i="36"/>
  <c r="AM36" i="36"/>
  <c r="AN36" i="36" s="1"/>
  <c r="AJ36" i="36"/>
  <c r="AE36" i="36"/>
  <c r="AF36" i="36" s="1"/>
  <c r="AA36" i="36"/>
  <c r="AB36" i="36" s="1"/>
  <c r="X36" i="36"/>
  <c r="S36" i="36"/>
  <c r="T36" i="36" s="1"/>
  <c r="P36" i="36"/>
  <c r="O36" i="36"/>
  <c r="L36" i="36"/>
  <c r="AQ34" i="36"/>
  <c r="AR34" i="36" s="1"/>
  <c r="AM34" i="36"/>
  <c r="AN34" i="36" s="1"/>
  <c r="AJ34" i="36"/>
  <c r="AE34" i="36"/>
  <c r="AF34" i="36" s="1"/>
  <c r="AB34" i="36"/>
  <c r="AA34" i="36"/>
  <c r="X34" i="36"/>
  <c r="S34" i="36"/>
  <c r="T34" i="36" s="1"/>
  <c r="O34" i="36"/>
  <c r="P34" i="36" s="1"/>
  <c r="L34" i="36"/>
  <c r="AQ33" i="36"/>
  <c r="AR33" i="36" s="1"/>
  <c r="AN33" i="36"/>
  <c r="AM33" i="36"/>
  <c r="AJ33" i="36"/>
  <c r="AF33" i="36"/>
  <c r="AE33" i="36"/>
  <c r="AA33" i="36"/>
  <c r="AB33" i="36" s="1"/>
  <c r="X33" i="36"/>
  <c r="S33" i="36"/>
  <c r="T33" i="36" s="1"/>
  <c r="O33" i="36"/>
  <c r="P33" i="36" s="1"/>
  <c r="L33" i="36"/>
  <c r="AQ32" i="36"/>
  <c r="AR32" i="36" s="1"/>
  <c r="AM32" i="36"/>
  <c r="AN32" i="36" s="1"/>
  <c r="AJ32" i="36"/>
  <c r="AE32" i="36"/>
  <c r="AF32" i="36" s="1"/>
  <c r="AA32" i="36"/>
  <c r="AB32" i="36" s="1"/>
  <c r="X32" i="36"/>
  <c r="S32" i="36"/>
  <c r="T32" i="36" s="1"/>
  <c r="O32" i="36"/>
  <c r="P32" i="36" s="1"/>
  <c r="L32" i="36"/>
  <c r="AQ31" i="36"/>
  <c r="AR31" i="36" s="1"/>
  <c r="AM31" i="36"/>
  <c r="AN31" i="36" s="1"/>
  <c r="AJ31" i="36"/>
  <c r="AE31" i="36"/>
  <c r="AF31" i="36" s="1"/>
  <c r="AB31" i="36"/>
  <c r="AA31" i="36"/>
  <c r="X31" i="36"/>
  <c r="S31" i="36"/>
  <c r="T31" i="36" s="1"/>
  <c r="O31" i="36"/>
  <c r="P31" i="36" s="1"/>
  <c r="L31" i="36"/>
  <c r="AR29" i="36"/>
  <c r="AQ29" i="36"/>
  <c r="AN29" i="36"/>
  <c r="AM29" i="36"/>
  <c r="AJ29" i="36"/>
  <c r="AE29" i="36"/>
  <c r="AF29" i="36" s="1"/>
  <c r="AA29" i="36"/>
  <c r="AB29" i="36" s="1"/>
  <c r="X29" i="36"/>
  <c r="S29" i="36"/>
  <c r="T29" i="36" s="1"/>
  <c r="O29" i="36"/>
  <c r="P29" i="36" s="1"/>
  <c r="L29" i="36"/>
  <c r="AR28" i="36"/>
  <c r="AQ28" i="36"/>
  <c r="AM28" i="36"/>
  <c r="AN28" i="36" s="1"/>
  <c r="AJ28" i="36"/>
  <c r="AE28" i="36"/>
  <c r="AF28" i="36" s="1"/>
  <c r="AA28" i="36"/>
  <c r="AB28" i="36" s="1"/>
  <c r="X28" i="36"/>
  <c r="T28" i="36"/>
  <c r="S28" i="36"/>
  <c r="P28" i="36"/>
  <c r="O28" i="36"/>
  <c r="L28" i="36"/>
  <c r="AQ27" i="36"/>
  <c r="AR27" i="36" s="1"/>
  <c r="AM27" i="36"/>
  <c r="AN27" i="36" s="1"/>
  <c r="AJ27" i="36"/>
  <c r="AE27" i="36"/>
  <c r="AF27" i="36" s="1"/>
  <c r="AA27" i="36"/>
  <c r="AB27" i="36" s="1"/>
  <c r="X27" i="36"/>
  <c r="S27" i="36"/>
  <c r="T27" i="36" s="1"/>
  <c r="O27" i="36"/>
  <c r="P27" i="36" s="1"/>
  <c r="L27" i="36"/>
  <c r="AQ25" i="36"/>
  <c r="AR25" i="36" s="1"/>
  <c r="AM25" i="36"/>
  <c r="AN25" i="36" s="1"/>
  <c r="AJ25" i="36"/>
  <c r="AE25" i="36"/>
  <c r="AF25" i="36" s="1"/>
  <c r="AA25" i="36"/>
  <c r="AB25" i="36" s="1"/>
  <c r="X25" i="36"/>
  <c r="S25" i="36"/>
  <c r="T25" i="36" s="1"/>
  <c r="P25" i="36"/>
  <c r="O25" i="36"/>
  <c r="L25" i="36"/>
  <c r="AQ23" i="36"/>
  <c r="AR23" i="36" s="1"/>
  <c r="AM23" i="36"/>
  <c r="AN23" i="36" s="1"/>
  <c r="AJ23" i="36"/>
  <c r="AE23" i="36"/>
  <c r="AF23" i="36" s="1"/>
  <c r="AA23" i="36"/>
  <c r="AB23" i="36" s="1"/>
  <c r="X23" i="36"/>
  <c r="T23" i="36"/>
  <c r="S23" i="36"/>
  <c r="O23" i="36"/>
  <c r="P23" i="36" s="1"/>
  <c r="L23" i="36"/>
  <c r="AQ22" i="36"/>
  <c r="AR22" i="36" s="1"/>
  <c r="AM22" i="36"/>
  <c r="AN22" i="36" s="1"/>
  <c r="AJ22" i="36"/>
  <c r="AE22" i="36"/>
  <c r="AF22" i="36" s="1"/>
  <c r="AA22" i="36"/>
  <c r="AB22" i="36" s="1"/>
  <c r="X22" i="36"/>
  <c r="S22" i="36"/>
  <c r="T22" i="36" s="1"/>
  <c r="P22" i="36"/>
  <c r="O22" i="36"/>
  <c r="L22" i="36"/>
  <c r="AQ20" i="36"/>
  <c r="AR20" i="36" s="1"/>
  <c r="AM20" i="36"/>
  <c r="AN20" i="36" s="1"/>
  <c r="AJ20" i="36"/>
  <c r="AE20" i="36"/>
  <c r="AF20" i="36" s="1"/>
  <c r="AB20" i="36"/>
  <c r="AA20" i="36"/>
  <c r="X20" i="36"/>
  <c r="T20" i="36"/>
  <c r="S20" i="36"/>
  <c r="O20" i="36"/>
  <c r="P20" i="36" s="1"/>
  <c r="L20" i="36"/>
  <c r="AQ19" i="36"/>
  <c r="AR19" i="36" s="1"/>
  <c r="AM19" i="36"/>
  <c r="AN19" i="36" s="1"/>
  <c r="AJ19" i="36"/>
  <c r="AE19" i="36"/>
  <c r="AF19" i="36" s="1"/>
  <c r="AB19" i="36"/>
  <c r="AA19" i="36"/>
  <c r="X19" i="36"/>
  <c r="S19" i="36"/>
  <c r="T19" i="36" s="1"/>
  <c r="O19" i="36"/>
  <c r="P19" i="36" s="1"/>
  <c r="L19" i="36"/>
  <c r="AQ17" i="36"/>
  <c r="AR17" i="36" s="1"/>
  <c r="AN17" i="36"/>
  <c r="AM17" i="36"/>
  <c r="AJ17" i="36"/>
  <c r="AE17" i="36"/>
  <c r="AF17" i="36" s="1"/>
  <c r="AA17" i="36"/>
  <c r="AB17" i="36" s="1"/>
  <c r="X17" i="36"/>
  <c r="S17" i="36"/>
  <c r="T17" i="36" s="1"/>
  <c r="O17" i="36"/>
  <c r="P17" i="36" s="1"/>
  <c r="L17" i="36"/>
  <c r="AQ16" i="36"/>
  <c r="AR16" i="36" s="1"/>
  <c r="AM16" i="36"/>
  <c r="AN16" i="36" s="1"/>
  <c r="AJ16" i="36"/>
  <c r="AE16" i="36"/>
  <c r="AF16" i="36" s="1"/>
  <c r="AA16" i="36"/>
  <c r="AB16" i="36" s="1"/>
  <c r="X16" i="36"/>
  <c r="T16" i="36"/>
  <c r="S16" i="36"/>
  <c r="O16" i="36"/>
  <c r="P16" i="36" s="1"/>
  <c r="L16" i="36"/>
  <c r="AQ14" i="36"/>
  <c r="AR14" i="36" s="1"/>
  <c r="AM14" i="36"/>
  <c r="AN14" i="36" s="1"/>
  <c r="AJ14" i="36"/>
  <c r="AF14" i="36"/>
  <c r="AE14" i="36"/>
  <c r="AA14" i="36"/>
  <c r="AB14" i="36" s="1"/>
  <c r="X14" i="36"/>
  <c r="S14" i="36"/>
  <c r="T14" i="36" s="1"/>
  <c r="O14" i="36"/>
  <c r="P14" i="36" s="1"/>
  <c r="L14" i="36"/>
  <c r="AQ13" i="36"/>
  <c r="AR13" i="36" s="1"/>
  <c r="AM13" i="36"/>
  <c r="AN13" i="36" s="1"/>
  <c r="AJ13" i="36"/>
  <c r="AE13" i="36"/>
  <c r="AF13" i="36" s="1"/>
  <c r="AA13" i="36"/>
  <c r="AB13" i="36" s="1"/>
  <c r="X13" i="36"/>
  <c r="T13" i="36"/>
  <c r="S13" i="36"/>
  <c r="O13" i="36"/>
  <c r="P13" i="36" s="1"/>
  <c r="L13" i="36"/>
  <c r="AN12" i="36"/>
  <c r="AM12" i="36"/>
  <c r="AL12" i="36"/>
  <c r="AJ12" i="36"/>
  <c r="AI12" i="36"/>
  <c r="AF12" i="36"/>
  <c r="AR12" i="36" s="1"/>
  <c r="AE12" i="36"/>
  <c r="AQ12" i="36" s="1"/>
  <c r="AB12" i="36"/>
  <c r="AA12" i="36"/>
  <c r="V12" i="36"/>
  <c r="AH12" i="36" s="1"/>
  <c r="N12" i="36"/>
  <c r="Z12" i="36" s="1"/>
  <c r="L12" i="36"/>
  <c r="X12" i="36" s="1"/>
  <c r="K12" i="36"/>
  <c r="W12" i="36" s="1"/>
  <c r="AQ11" i="36"/>
  <c r="AE11" i="36"/>
  <c r="S11" i="36"/>
  <c r="A2" i="36"/>
  <c r="A3" i="36" s="1"/>
  <c r="A4" i="36" s="1"/>
  <c r="A5" i="36" s="1"/>
  <c r="A6" i="36" s="1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J81" i="35"/>
  <c r="I81" i="35"/>
  <c r="J18" i="35" s="1"/>
  <c r="G81" i="35"/>
  <c r="P69" i="35"/>
  <c r="N69" i="35"/>
  <c r="M69" i="35"/>
  <c r="J69" i="35"/>
  <c r="I69" i="35"/>
  <c r="K69" i="35"/>
  <c r="K81" i="35" s="1"/>
  <c r="J68" i="35"/>
  <c r="I68" i="35"/>
  <c r="M68" i="35" s="1"/>
  <c r="K68" i="35"/>
  <c r="P68" i="35" s="1"/>
  <c r="P66" i="35"/>
  <c r="N66" i="35"/>
  <c r="M66" i="35"/>
  <c r="J65" i="35"/>
  <c r="I65" i="35"/>
  <c r="M65" i="35" s="1"/>
  <c r="K65" i="35"/>
  <c r="K43" i="35"/>
  <c r="J43" i="35"/>
  <c r="I43" i="35"/>
  <c r="P42" i="35"/>
  <c r="K42" i="35"/>
  <c r="J42" i="35"/>
  <c r="I42" i="35"/>
  <c r="M42" i="35" s="1"/>
  <c r="J41" i="35"/>
  <c r="G78" i="35"/>
  <c r="K40" i="35"/>
  <c r="J40" i="35"/>
  <c r="I40" i="35"/>
  <c r="P38" i="35"/>
  <c r="N38" i="35"/>
  <c r="M38" i="35"/>
  <c r="K38" i="35"/>
  <c r="J38" i="35"/>
  <c r="I38" i="35"/>
  <c r="G38" i="35"/>
  <c r="X35" i="35"/>
  <c r="Q35" i="35"/>
  <c r="J35" i="35"/>
  <c r="F35" i="35"/>
  <c r="D35" i="35"/>
  <c r="Q34" i="35"/>
  <c r="J34" i="35"/>
  <c r="F34" i="35"/>
  <c r="D34" i="35"/>
  <c r="X33" i="35"/>
  <c r="J33" i="35"/>
  <c r="F33" i="35"/>
  <c r="D33" i="35"/>
  <c r="X32" i="35"/>
  <c r="Q32" i="35"/>
  <c r="J32" i="35"/>
  <c r="F32" i="35"/>
  <c r="D32" i="35"/>
  <c r="Q31" i="35"/>
  <c r="J31" i="35"/>
  <c r="F31" i="35"/>
  <c r="D31" i="35"/>
  <c r="X30" i="35"/>
  <c r="J30" i="35"/>
  <c r="F30" i="35"/>
  <c r="D30" i="35"/>
  <c r="D27" i="35"/>
  <c r="X26" i="35"/>
  <c r="D26" i="35"/>
  <c r="X25" i="35"/>
  <c r="J25" i="35"/>
  <c r="D25" i="35"/>
  <c r="F25" i="35" s="1"/>
  <c r="X24" i="35"/>
  <c r="D24" i="35"/>
  <c r="J23" i="35"/>
  <c r="D23" i="35"/>
  <c r="X22" i="35"/>
  <c r="J22" i="35"/>
  <c r="D22" i="35"/>
  <c r="F22" i="35" s="1"/>
  <c r="X19" i="35"/>
  <c r="J19" i="35"/>
  <c r="F19" i="35"/>
  <c r="D19" i="35"/>
  <c r="X18" i="35"/>
  <c r="Q18" i="35"/>
  <c r="F18" i="35"/>
  <c r="D18" i="35"/>
  <c r="X17" i="35"/>
  <c r="Q17" i="35"/>
  <c r="J17" i="35"/>
  <c r="F17" i="35"/>
  <c r="D17" i="35"/>
  <c r="X16" i="35"/>
  <c r="J16" i="35"/>
  <c r="F16" i="35"/>
  <c r="D16" i="35"/>
  <c r="X15" i="35"/>
  <c r="Q15" i="35"/>
  <c r="J15" i="35"/>
  <c r="F15" i="35"/>
  <c r="D15" i="35"/>
  <c r="X14" i="35"/>
  <c r="Q14" i="35"/>
  <c r="J14" i="35"/>
  <c r="F14" i="35"/>
  <c r="D14" i="35"/>
  <c r="D11" i="35"/>
  <c r="C11" i="35"/>
  <c r="AA10" i="35"/>
  <c r="W10" i="35"/>
  <c r="T10" i="35"/>
  <c r="P10" i="35"/>
  <c r="M10" i="35"/>
  <c r="I10" i="35"/>
  <c r="E10" i="35"/>
  <c r="D10" i="35"/>
  <c r="C10" i="35"/>
  <c r="A8" i="35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A71" i="35" s="1"/>
  <c r="A72" i="35" s="1"/>
  <c r="A73" i="35" s="1"/>
  <c r="A74" i="35" s="1"/>
  <c r="A7" i="35"/>
  <c r="A5" i="35"/>
  <c r="A6" i="35" s="1"/>
  <c r="A3" i="35"/>
  <c r="A4" i="35" s="1"/>
  <c r="A2" i="35"/>
  <c r="K80" i="34"/>
  <c r="K73" i="34"/>
  <c r="I73" i="34"/>
  <c r="M73" i="34" s="1"/>
  <c r="J73" i="34"/>
  <c r="N73" i="34" s="1"/>
  <c r="N71" i="34"/>
  <c r="M71" i="34"/>
  <c r="P71" i="34"/>
  <c r="A63" i="34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N48" i="34"/>
  <c r="K48" i="34"/>
  <c r="J48" i="34"/>
  <c r="I48" i="34"/>
  <c r="M48" i="34" s="1"/>
  <c r="K47" i="34"/>
  <c r="J47" i="34"/>
  <c r="I47" i="34"/>
  <c r="M47" i="34" s="1"/>
  <c r="P46" i="34"/>
  <c r="N46" i="34"/>
  <c r="K46" i="34"/>
  <c r="J46" i="34"/>
  <c r="I46" i="34"/>
  <c r="M46" i="34" s="1"/>
  <c r="K45" i="34"/>
  <c r="K82" i="34" s="1"/>
  <c r="J45" i="34"/>
  <c r="I45" i="34"/>
  <c r="M45" i="34" s="1"/>
  <c r="G82" i="34"/>
  <c r="K43" i="34"/>
  <c r="G80" i="34"/>
  <c r="P41" i="34"/>
  <c r="N41" i="34"/>
  <c r="M41" i="34"/>
  <c r="K41" i="34"/>
  <c r="J41" i="34"/>
  <c r="I41" i="34"/>
  <c r="G41" i="34"/>
  <c r="D38" i="34"/>
  <c r="D37" i="34"/>
  <c r="D36" i="34"/>
  <c r="D35" i="34"/>
  <c r="D34" i="34"/>
  <c r="D33" i="34"/>
  <c r="D32" i="34"/>
  <c r="D29" i="34"/>
  <c r="A29" i="34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D28" i="34"/>
  <c r="D27" i="34"/>
  <c r="D26" i="34"/>
  <c r="D25" i="34"/>
  <c r="D24" i="34"/>
  <c r="D23" i="34"/>
  <c r="D20" i="34"/>
  <c r="A20" i="34"/>
  <c r="A21" i="34" s="1"/>
  <c r="A22" i="34" s="1"/>
  <c r="A23" i="34" s="1"/>
  <c r="A24" i="34" s="1"/>
  <c r="A25" i="34" s="1"/>
  <c r="A26" i="34" s="1"/>
  <c r="A27" i="34" s="1"/>
  <c r="A28" i="34" s="1"/>
  <c r="D19" i="34"/>
  <c r="D18" i="34"/>
  <c r="D17" i="34"/>
  <c r="D16" i="34"/>
  <c r="D15" i="34"/>
  <c r="D14" i="34"/>
  <c r="AA10" i="34"/>
  <c r="W10" i="34"/>
  <c r="T10" i="34"/>
  <c r="P10" i="34"/>
  <c r="M10" i="34"/>
  <c r="I10" i="34"/>
  <c r="E10" i="34"/>
  <c r="A5" i="34"/>
  <c r="A6" i="34" s="1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4" i="34"/>
  <c r="A2" i="34"/>
  <c r="A3" i="34" s="1"/>
  <c r="A76" i="33"/>
  <c r="J72" i="33"/>
  <c r="K69" i="33"/>
  <c r="I69" i="33"/>
  <c r="J69" i="33"/>
  <c r="M66" i="33"/>
  <c r="N66" i="33"/>
  <c r="I43" i="33"/>
  <c r="P42" i="33"/>
  <c r="M42" i="33"/>
  <c r="K42" i="33"/>
  <c r="J42" i="33"/>
  <c r="I42" i="33"/>
  <c r="N42" i="33" s="1"/>
  <c r="K41" i="33"/>
  <c r="J41" i="33"/>
  <c r="I41" i="33"/>
  <c r="G72" i="33"/>
  <c r="P39" i="33"/>
  <c r="N39" i="33"/>
  <c r="M39" i="33"/>
  <c r="K39" i="33"/>
  <c r="J39" i="33"/>
  <c r="I39" i="33"/>
  <c r="G39" i="33"/>
  <c r="D36" i="33"/>
  <c r="D35" i="33"/>
  <c r="D34" i="33"/>
  <c r="D33" i="33"/>
  <c r="D32" i="33"/>
  <c r="D31" i="33"/>
  <c r="D28" i="33"/>
  <c r="D27" i="33"/>
  <c r="D26" i="33"/>
  <c r="D25" i="33"/>
  <c r="D24" i="33"/>
  <c r="D23" i="33"/>
  <c r="D20" i="33"/>
  <c r="D19" i="33"/>
  <c r="D18" i="33"/>
  <c r="D17" i="33"/>
  <c r="D16" i="33"/>
  <c r="D15" i="33"/>
  <c r="A15" i="33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A11" i="33"/>
  <c r="W11" i="33"/>
  <c r="T11" i="33"/>
  <c r="P11" i="33"/>
  <c r="M11" i="33"/>
  <c r="I11" i="33"/>
  <c r="E11" i="33"/>
  <c r="A4" i="33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3" i="33"/>
  <c r="A2" i="33"/>
  <c r="J80" i="32"/>
  <c r="G80" i="32"/>
  <c r="G76" i="32"/>
  <c r="K75" i="32"/>
  <c r="G75" i="32"/>
  <c r="N72" i="32"/>
  <c r="M72" i="32"/>
  <c r="K72" i="32"/>
  <c r="J72" i="32"/>
  <c r="I72" i="32"/>
  <c r="I80" i="32" s="1"/>
  <c r="K71" i="32"/>
  <c r="P71" i="32" s="1"/>
  <c r="I71" i="32"/>
  <c r="M71" i="32" s="1"/>
  <c r="J71" i="32"/>
  <c r="N71" i="32" s="1"/>
  <c r="P70" i="32"/>
  <c r="K70" i="32"/>
  <c r="J70" i="32"/>
  <c r="I70" i="32"/>
  <c r="M69" i="32"/>
  <c r="N69" i="32"/>
  <c r="K68" i="32"/>
  <c r="P68" i="32" s="1"/>
  <c r="J68" i="32"/>
  <c r="N68" i="32" s="1"/>
  <c r="I68" i="32"/>
  <c r="M68" i="32" s="1"/>
  <c r="N67" i="32"/>
  <c r="K67" i="32"/>
  <c r="J67" i="32"/>
  <c r="J76" i="32" s="1"/>
  <c r="I67" i="32"/>
  <c r="J45" i="32"/>
  <c r="N45" i="32" s="1"/>
  <c r="I45" i="32"/>
  <c r="K45" i="32"/>
  <c r="M44" i="32"/>
  <c r="I44" i="32"/>
  <c r="K43" i="32"/>
  <c r="J43" i="32"/>
  <c r="I43" i="32"/>
  <c r="M43" i="32" s="1"/>
  <c r="P41" i="32"/>
  <c r="N41" i="32"/>
  <c r="M41" i="32"/>
  <c r="K41" i="32"/>
  <c r="J41" i="32"/>
  <c r="I41" i="32"/>
  <c r="G41" i="32"/>
  <c r="D38" i="32"/>
  <c r="J37" i="32"/>
  <c r="D37" i="32"/>
  <c r="A37" i="32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D36" i="32"/>
  <c r="J36" i="32" s="1"/>
  <c r="D35" i="32"/>
  <c r="D34" i="32"/>
  <c r="J34" i="32" s="1"/>
  <c r="D33" i="32"/>
  <c r="J33" i="32" s="1"/>
  <c r="D32" i="32"/>
  <c r="J29" i="32"/>
  <c r="D29" i="32"/>
  <c r="D28" i="32"/>
  <c r="J28" i="32" s="1"/>
  <c r="J27" i="32"/>
  <c r="D27" i="32"/>
  <c r="F26" i="32"/>
  <c r="D26" i="32"/>
  <c r="J26" i="32" s="1"/>
  <c r="D25" i="32"/>
  <c r="J25" i="32" s="1"/>
  <c r="D24" i="32"/>
  <c r="J24" i="32" s="1"/>
  <c r="J23" i="32"/>
  <c r="D23" i="32"/>
  <c r="A21" i="32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J20" i="32"/>
  <c r="D20" i="32"/>
  <c r="D19" i="32"/>
  <c r="D18" i="32"/>
  <c r="D17" i="32"/>
  <c r="J17" i="32" s="1"/>
  <c r="J16" i="32"/>
  <c r="D16" i="32"/>
  <c r="D15" i="32"/>
  <c r="J14" i="32"/>
  <c r="D14" i="32"/>
  <c r="AA10" i="32"/>
  <c r="W10" i="32"/>
  <c r="T10" i="32"/>
  <c r="P10" i="32"/>
  <c r="M10" i="32"/>
  <c r="I10" i="32"/>
  <c r="E10" i="32"/>
  <c r="A9" i="32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" i="32"/>
  <c r="A3" i="32" s="1"/>
  <c r="A4" i="32" s="1"/>
  <c r="A5" i="32" s="1"/>
  <c r="A6" i="32" s="1"/>
  <c r="A7" i="32" s="1"/>
  <c r="A8" i="32" s="1"/>
  <c r="J84" i="31"/>
  <c r="G84" i="31"/>
  <c r="K81" i="31"/>
  <c r="J81" i="31"/>
  <c r="I81" i="31"/>
  <c r="G87" i="31"/>
  <c r="P80" i="31"/>
  <c r="K80" i="31"/>
  <c r="J80" i="31"/>
  <c r="I80" i="31"/>
  <c r="M80" i="31" s="1"/>
  <c r="P79" i="31"/>
  <c r="N79" i="31"/>
  <c r="M79" i="31"/>
  <c r="K79" i="31"/>
  <c r="J79" i="31"/>
  <c r="I79" i="31"/>
  <c r="M78" i="31"/>
  <c r="K77" i="31"/>
  <c r="K85" i="31" s="1"/>
  <c r="A63" i="3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K55" i="31"/>
  <c r="J55" i="31"/>
  <c r="I55" i="31"/>
  <c r="K54" i="31"/>
  <c r="N53" i="31"/>
  <c r="K53" i="31"/>
  <c r="I53" i="31"/>
  <c r="J53" i="31"/>
  <c r="P51" i="31"/>
  <c r="N51" i="31"/>
  <c r="M51" i="31"/>
  <c r="K51" i="31"/>
  <c r="J51" i="31"/>
  <c r="I51" i="31"/>
  <c r="G51" i="31"/>
  <c r="D48" i="31"/>
  <c r="F47" i="31"/>
  <c r="D47" i="31"/>
  <c r="D46" i="31"/>
  <c r="F45" i="31"/>
  <c r="D45" i="31"/>
  <c r="F44" i="31"/>
  <c r="D44" i="31"/>
  <c r="D43" i="31"/>
  <c r="D42" i="31"/>
  <c r="D41" i="31"/>
  <c r="D40" i="31"/>
  <c r="D39" i="31"/>
  <c r="F36" i="31"/>
  <c r="D36" i="31"/>
  <c r="D35" i="31"/>
  <c r="F35" i="31" s="1"/>
  <c r="F34" i="31"/>
  <c r="D34" i="31"/>
  <c r="F33" i="31"/>
  <c r="D33" i="31"/>
  <c r="D32" i="31"/>
  <c r="F32" i="31" s="1"/>
  <c r="D31" i="31"/>
  <c r="F30" i="31"/>
  <c r="D30" i="31"/>
  <c r="D29" i="31"/>
  <c r="D28" i="31"/>
  <c r="D27" i="31"/>
  <c r="F27" i="31" s="1"/>
  <c r="D24" i="31"/>
  <c r="D23" i="31"/>
  <c r="F22" i="31"/>
  <c r="D22" i="31"/>
  <c r="A22" i="3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D21" i="31"/>
  <c r="F21" i="31" s="1"/>
  <c r="D20" i="31"/>
  <c r="F20" i="31" s="1"/>
  <c r="A20" i="31"/>
  <c r="A21" i="31" s="1"/>
  <c r="D19" i="31"/>
  <c r="F19" i="31" s="1"/>
  <c r="D18" i="31"/>
  <c r="F17" i="31"/>
  <c r="D17" i="31"/>
  <c r="D16" i="31"/>
  <c r="D15" i="31"/>
  <c r="AA11" i="31"/>
  <c r="W11" i="31"/>
  <c r="T11" i="31"/>
  <c r="P11" i="31"/>
  <c r="M11" i="31"/>
  <c r="I11" i="31"/>
  <c r="E11" i="31"/>
  <c r="D11" i="31"/>
  <c r="C11" i="31"/>
  <c r="A4" i="3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3" i="31"/>
  <c r="A2" i="31"/>
  <c r="K84" i="30"/>
  <c r="I84" i="30"/>
  <c r="G84" i="30"/>
  <c r="K81" i="30"/>
  <c r="K87" i="30" s="1"/>
  <c r="K80" i="30"/>
  <c r="J80" i="30"/>
  <c r="P78" i="30"/>
  <c r="N78" i="30"/>
  <c r="M78" i="30"/>
  <c r="J77" i="30"/>
  <c r="J55" i="30"/>
  <c r="J54" i="30"/>
  <c r="I54" i="30"/>
  <c r="K54" i="30"/>
  <c r="A54" i="30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P53" i="30"/>
  <c r="M53" i="30"/>
  <c r="K53" i="30"/>
  <c r="J53" i="30"/>
  <c r="I53" i="30"/>
  <c r="N51" i="30"/>
  <c r="I51" i="30"/>
  <c r="D48" i="30"/>
  <c r="D47" i="30"/>
  <c r="D46" i="30"/>
  <c r="D45" i="30"/>
  <c r="D44" i="30"/>
  <c r="A44" i="30"/>
  <c r="A45" i="30" s="1"/>
  <c r="A46" i="30" s="1"/>
  <c r="A47" i="30" s="1"/>
  <c r="A48" i="30" s="1"/>
  <c r="A49" i="30" s="1"/>
  <c r="A50" i="30" s="1"/>
  <c r="A51" i="30" s="1"/>
  <c r="A52" i="30" s="1"/>
  <c r="A53" i="30" s="1"/>
  <c r="D43" i="30"/>
  <c r="D42" i="30"/>
  <c r="D41" i="30"/>
  <c r="D40" i="30"/>
  <c r="D39" i="30"/>
  <c r="D36" i="30"/>
  <c r="D35" i="30"/>
  <c r="D34" i="30"/>
  <c r="D33" i="30"/>
  <c r="D32" i="30"/>
  <c r="D31" i="30"/>
  <c r="D30" i="30"/>
  <c r="D29" i="30"/>
  <c r="D28" i="30"/>
  <c r="D27" i="30"/>
  <c r="X24" i="30"/>
  <c r="D24" i="30"/>
  <c r="D23" i="30"/>
  <c r="D22" i="30"/>
  <c r="D21" i="30"/>
  <c r="D20" i="30"/>
  <c r="D19" i="30"/>
  <c r="D18" i="30"/>
  <c r="D17" i="30"/>
  <c r="D16" i="30"/>
  <c r="D15" i="30"/>
  <c r="AA11" i="30"/>
  <c r="W11" i="30"/>
  <c r="T11" i="30"/>
  <c r="P11" i="30"/>
  <c r="M11" i="30"/>
  <c r="I11" i="30"/>
  <c r="E11" i="30"/>
  <c r="D11" i="30"/>
  <c r="C11" i="30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2" i="30"/>
  <c r="A3" i="30" s="1"/>
  <c r="A4" i="30" s="1"/>
  <c r="A5" i="30" s="1"/>
  <c r="A6" i="30" s="1"/>
  <c r="G79" i="29"/>
  <c r="G76" i="29"/>
  <c r="J68" i="29"/>
  <c r="P68" i="29" s="1"/>
  <c r="I68" i="29"/>
  <c r="M68" i="29" s="1"/>
  <c r="K68" i="29"/>
  <c r="K67" i="29"/>
  <c r="P67" i="29" s="1"/>
  <c r="J67" i="29"/>
  <c r="I67" i="29"/>
  <c r="M67" i="29" s="1"/>
  <c r="P66" i="29"/>
  <c r="N66" i="29"/>
  <c r="M66" i="29"/>
  <c r="P65" i="29"/>
  <c r="J65" i="29"/>
  <c r="I65" i="29"/>
  <c r="N65" i="29" s="1"/>
  <c r="K65" i="29"/>
  <c r="K43" i="29"/>
  <c r="P43" i="29" s="1"/>
  <c r="J43" i="29"/>
  <c r="I43" i="29"/>
  <c r="K42" i="29"/>
  <c r="K41" i="29"/>
  <c r="J41" i="29"/>
  <c r="A41" i="29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K40" i="29"/>
  <c r="K75" i="29" s="1"/>
  <c r="P38" i="29"/>
  <c r="N38" i="29"/>
  <c r="M38" i="29"/>
  <c r="K38" i="29"/>
  <c r="J38" i="29"/>
  <c r="I38" i="29"/>
  <c r="G38" i="29"/>
  <c r="D35" i="29"/>
  <c r="D34" i="29"/>
  <c r="D33" i="29"/>
  <c r="D32" i="29"/>
  <c r="D31" i="29"/>
  <c r="D30" i="29"/>
  <c r="D27" i="29"/>
  <c r="D26" i="29"/>
  <c r="D25" i="29"/>
  <c r="D24" i="29"/>
  <c r="D23" i="29"/>
  <c r="D22" i="29"/>
  <c r="D19" i="29"/>
  <c r="D18" i="29"/>
  <c r="D17" i="29"/>
  <c r="D16" i="29"/>
  <c r="D15" i="29"/>
  <c r="D14" i="29"/>
  <c r="A14" i="29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A10" i="29"/>
  <c r="W10" i="29"/>
  <c r="T10" i="29"/>
  <c r="P10" i="29"/>
  <c r="M10" i="29"/>
  <c r="I10" i="29"/>
  <c r="E10" i="29"/>
  <c r="A6" i="29"/>
  <c r="A7" i="29" s="1"/>
  <c r="A8" i="29" s="1"/>
  <c r="A9" i="29" s="1"/>
  <c r="A10" i="29" s="1"/>
  <c r="A11" i="29" s="1"/>
  <c r="A12" i="29" s="1"/>
  <c r="A13" i="29" s="1"/>
  <c r="A2" i="29"/>
  <c r="A3" i="29" s="1"/>
  <c r="A4" i="29" s="1"/>
  <c r="A5" i="29" s="1"/>
  <c r="A78" i="28"/>
  <c r="K74" i="28"/>
  <c r="J71" i="28"/>
  <c r="K70" i="28"/>
  <c r="K69" i="28"/>
  <c r="P69" i="28" s="1"/>
  <c r="I69" i="28"/>
  <c r="J69" i="28"/>
  <c r="P68" i="28"/>
  <c r="N68" i="28"/>
  <c r="J45" i="28"/>
  <c r="I45" i="28"/>
  <c r="M45" i="28" s="1"/>
  <c r="K45" i="28"/>
  <c r="K43" i="28"/>
  <c r="G74" i="28"/>
  <c r="P41" i="28"/>
  <c r="N41" i="28"/>
  <c r="M41" i="28"/>
  <c r="K41" i="28"/>
  <c r="J41" i="28"/>
  <c r="I41" i="28"/>
  <c r="G41" i="28"/>
  <c r="D38" i="28"/>
  <c r="D37" i="28"/>
  <c r="D36" i="28"/>
  <c r="D35" i="28"/>
  <c r="D34" i="28"/>
  <c r="D33" i="28"/>
  <c r="D32" i="28"/>
  <c r="D29" i="28"/>
  <c r="A29" i="28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D28" i="28"/>
  <c r="D27" i="28"/>
  <c r="D26" i="28"/>
  <c r="D25" i="28"/>
  <c r="D24" i="28"/>
  <c r="D23" i="28"/>
  <c r="D20" i="28"/>
  <c r="D19" i="28"/>
  <c r="D18" i="28"/>
  <c r="D17" i="28"/>
  <c r="D16" i="28"/>
  <c r="D15" i="28"/>
  <c r="A15" i="28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D14" i="28"/>
  <c r="AA10" i="28"/>
  <c r="W10" i="28"/>
  <c r="T10" i="28"/>
  <c r="P10" i="28"/>
  <c r="M10" i="28"/>
  <c r="I10" i="28"/>
  <c r="E10" i="28"/>
  <c r="A4" i="28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2" i="28"/>
  <c r="A3" i="28" s="1"/>
  <c r="K80" i="27"/>
  <c r="J80" i="27"/>
  <c r="G80" i="27"/>
  <c r="K78" i="27"/>
  <c r="G78" i="27"/>
  <c r="G77" i="27"/>
  <c r="P75" i="27"/>
  <c r="K75" i="27"/>
  <c r="J75" i="27"/>
  <c r="I75" i="27"/>
  <c r="N74" i="27"/>
  <c r="M74" i="27"/>
  <c r="K74" i="27"/>
  <c r="P74" i="27" s="1"/>
  <c r="J74" i="27"/>
  <c r="I74" i="27"/>
  <c r="P72" i="27"/>
  <c r="N72" i="27"/>
  <c r="M72" i="27"/>
  <c r="K71" i="27"/>
  <c r="M49" i="27"/>
  <c r="K49" i="27"/>
  <c r="I49" i="27"/>
  <c r="K48" i="27"/>
  <c r="J48" i="27"/>
  <c r="M47" i="27"/>
  <c r="I47" i="27"/>
  <c r="I77" i="27" s="1"/>
  <c r="P45" i="27"/>
  <c r="N45" i="27"/>
  <c r="M45" i="27"/>
  <c r="K45" i="27"/>
  <c r="J45" i="27"/>
  <c r="I45" i="27"/>
  <c r="G45" i="27"/>
  <c r="D42" i="27"/>
  <c r="D41" i="27"/>
  <c r="X41" i="27" s="1"/>
  <c r="Q40" i="27"/>
  <c r="D40" i="27"/>
  <c r="X40" i="27" s="1"/>
  <c r="X39" i="27"/>
  <c r="D39" i="27"/>
  <c r="Q38" i="27"/>
  <c r="D38" i="27"/>
  <c r="X38" i="27" s="1"/>
  <c r="D37" i="27"/>
  <c r="D36" i="27"/>
  <c r="X36" i="27" s="1"/>
  <c r="X35" i="27"/>
  <c r="Q35" i="27"/>
  <c r="D35" i="27"/>
  <c r="Q32" i="27"/>
  <c r="D32" i="27"/>
  <c r="X32" i="27" s="1"/>
  <c r="Q31" i="27"/>
  <c r="D31" i="27"/>
  <c r="D30" i="27"/>
  <c r="X30" i="27" s="1"/>
  <c r="X29" i="27"/>
  <c r="D29" i="27"/>
  <c r="Q29" i="27" s="1"/>
  <c r="X28" i="27"/>
  <c r="D28" i="27"/>
  <c r="X27" i="27"/>
  <c r="D27" i="27"/>
  <c r="Q27" i="27" s="1"/>
  <c r="X26" i="27"/>
  <c r="Q26" i="27"/>
  <c r="D26" i="27"/>
  <c r="X25" i="27"/>
  <c r="Q25" i="27"/>
  <c r="F25" i="27"/>
  <c r="D25" i="27"/>
  <c r="D22" i="27"/>
  <c r="X22" i="27" s="1"/>
  <c r="D21" i="27"/>
  <c r="X21" i="27" s="1"/>
  <c r="Q20" i="27"/>
  <c r="D20" i="27"/>
  <c r="X20" i="27" s="1"/>
  <c r="D19" i="27"/>
  <c r="X19" i="27" s="1"/>
  <c r="D18" i="27"/>
  <c r="X18" i="27" s="1"/>
  <c r="X17" i="27"/>
  <c r="D17" i="27"/>
  <c r="Q17" i="27" s="1"/>
  <c r="D16" i="27"/>
  <c r="X16" i="27" s="1"/>
  <c r="Q15" i="27"/>
  <c r="D15" i="27"/>
  <c r="X15" i="27" s="1"/>
  <c r="AA11" i="27"/>
  <c r="W11" i="27"/>
  <c r="T11" i="27"/>
  <c r="P11" i="27"/>
  <c r="M11" i="27"/>
  <c r="I11" i="27"/>
  <c r="E11" i="27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6" i="27"/>
  <c r="A4" i="27"/>
  <c r="A5" i="27" s="1"/>
  <c r="A3" i="27"/>
  <c r="A2" i="27"/>
  <c r="K78" i="26"/>
  <c r="J78" i="26"/>
  <c r="I78" i="26"/>
  <c r="G78" i="26"/>
  <c r="P74" i="26"/>
  <c r="N74" i="26"/>
  <c r="M74" i="26"/>
  <c r="K74" i="26"/>
  <c r="J74" i="26"/>
  <c r="I74" i="26"/>
  <c r="J73" i="26"/>
  <c r="I73" i="26"/>
  <c r="M73" i="26" s="1"/>
  <c r="K73" i="26"/>
  <c r="P72" i="26"/>
  <c r="N72" i="26"/>
  <c r="M72" i="26"/>
  <c r="I71" i="26"/>
  <c r="M71" i="26" s="1"/>
  <c r="M49" i="26"/>
  <c r="I49" i="26"/>
  <c r="K48" i="26"/>
  <c r="J48" i="26"/>
  <c r="I48" i="26"/>
  <c r="M47" i="26"/>
  <c r="K47" i="26"/>
  <c r="P47" i="26" s="1"/>
  <c r="J47" i="26"/>
  <c r="I47" i="26"/>
  <c r="P45" i="26"/>
  <c r="N45" i="26"/>
  <c r="M45" i="26"/>
  <c r="K45" i="26"/>
  <c r="J45" i="26"/>
  <c r="I45" i="26"/>
  <c r="G45" i="26"/>
  <c r="D42" i="26"/>
  <c r="D41" i="26"/>
  <c r="D40" i="26"/>
  <c r="D39" i="26"/>
  <c r="D38" i="26"/>
  <c r="D37" i="26"/>
  <c r="D36" i="26"/>
  <c r="D35" i="26"/>
  <c r="D32" i="26"/>
  <c r="D31" i="26"/>
  <c r="D30" i="26"/>
  <c r="D29" i="26"/>
  <c r="D28" i="26"/>
  <c r="D27" i="26"/>
  <c r="D26" i="26"/>
  <c r="D25" i="26"/>
  <c r="D22" i="26"/>
  <c r="D21" i="26"/>
  <c r="D20" i="26"/>
  <c r="D19" i="26"/>
  <c r="D18" i="26"/>
  <c r="D17" i="26"/>
  <c r="D16" i="26"/>
  <c r="D15" i="26"/>
  <c r="AA11" i="26"/>
  <c r="W11" i="26"/>
  <c r="T11" i="26"/>
  <c r="P11" i="26"/>
  <c r="M11" i="26"/>
  <c r="I11" i="26"/>
  <c r="E11" i="26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2" i="26"/>
  <c r="A3" i="26" s="1"/>
  <c r="A4" i="26" s="1"/>
  <c r="A5" i="26" s="1"/>
  <c r="A6" i="26" s="1"/>
  <c r="G92" i="25"/>
  <c r="K91" i="25"/>
  <c r="I91" i="25"/>
  <c r="J90" i="25"/>
  <c r="G90" i="25"/>
  <c r="N86" i="25"/>
  <c r="M86" i="25"/>
  <c r="K86" i="25"/>
  <c r="P86" i="25" s="1"/>
  <c r="J86" i="25"/>
  <c r="I86" i="25"/>
  <c r="I85" i="25"/>
  <c r="M85" i="25" s="1"/>
  <c r="M84" i="25"/>
  <c r="P84" i="25"/>
  <c r="N84" i="25"/>
  <c r="K83" i="25"/>
  <c r="I83" i="25"/>
  <c r="M83" i="25" s="1"/>
  <c r="Q74" i="25"/>
  <c r="C64" i="25"/>
  <c r="P61" i="25"/>
  <c r="N61" i="25"/>
  <c r="J61" i="25"/>
  <c r="I61" i="25"/>
  <c r="K61" i="25"/>
  <c r="P60" i="25"/>
  <c r="J60" i="25"/>
  <c r="I60" i="25"/>
  <c r="K60" i="25"/>
  <c r="K94" i="25" s="1"/>
  <c r="K58" i="25"/>
  <c r="M57" i="25"/>
  <c r="K57" i="25"/>
  <c r="J57" i="25"/>
  <c r="N57" i="25" s="1"/>
  <c r="I57" i="25"/>
  <c r="G91" i="25"/>
  <c r="N56" i="25"/>
  <c r="M56" i="25"/>
  <c r="K56" i="25"/>
  <c r="J56" i="25"/>
  <c r="I56" i="25"/>
  <c r="I90" i="25" s="1"/>
  <c r="P54" i="25"/>
  <c r="N54" i="25"/>
  <c r="M54" i="25"/>
  <c r="K54" i="25"/>
  <c r="J54" i="25"/>
  <c r="I54" i="25"/>
  <c r="G54" i="25"/>
  <c r="D51" i="25"/>
  <c r="D50" i="25"/>
  <c r="D49" i="25"/>
  <c r="D48" i="25"/>
  <c r="D47" i="25"/>
  <c r="D46" i="25"/>
  <c r="D45" i="25"/>
  <c r="D44" i="25"/>
  <c r="D43" i="25"/>
  <c r="D42" i="25"/>
  <c r="D41" i="25"/>
  <c r="D38" i="25"/>
  <c r="D37" i="25"/>
  <c r="D36" i="25"/>
  <c r="D35" i="25"/>
  <c r="D34" i="25"/>
  <c r="D33" i="25"/>
  <c r="D32" i="25"/>
  <c r="D31" i="25"/>
  <c r="D30" i="25"/>
  <c r="D29" i="25"/>
  <c r="D28" i="25"/>
  <c r="D25" i="25"/>
  <c r="D24" i="25"/>
  <c r="D23" i="25"/>
  <c r="D22" i="25"/>
  <c r="D21" i="25"/>
  <c r="D20" i="25"/>
  <c r="D19" i="25"/>
  <c r="D18" i="25"/>
  <c r="D17" i="25"/>
  <c r="D16" i="25"/>
  <c r="D15" i="25"/>
  <c r="AA11" i="25"/>
  <c r="W11" i="25"/>
  <c r="T11" i="25"/>
  <c r="P11" i="25"/>
  <c r="M11" i="25"/>
  <c r="I11" i="25"/>
  <c r="E11" i="25"/>
  <c r="A3" i="25"/>
  <c r="A4" i="25" s="1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2" i="25"/>
  <c r="K96" i="24"/>
  <c r="G94" i="24"/>
  <c r="G92" i="24"/>
  <c r="P87" i="24"/>
  <c r="N87" i="24"/>
  <c r="K87" i="24"/>
  <c r="J87" i="24"/>
  <c r="J96" i="24" s="1"/>
  <c r="Q41" i="24" s="1"/>
  <c r="I87" i="24"/>
  <c r="G96" i="24"/>
  <c r="M86" i="24"/>
  <c r="J86" i="24"/>
  <c r="P86" i="24" s="1"/>
  <c r="I86" i="24"/>
  <c r="K86" i="24"/>
  <c r="M85" i="24"/>
  <c r="J85" i="24"/>
  <c r="N85" i="24" s="1"/>
  <c r="I85" i="24"/>
  <c r="K85" i="24"/>
  <c r="M84" i="24"/>
  <c r="P84" i="24"/>
  <c r="N84" i="24"/>
  <c r="N83" i="24"/>
  <c r="M83" i="24"/>
  <c r="J83" i="24"/>
  <c r="I83" i="24"/>
  <c r="K83" i="24"/>
  <c r="Q76" i="24"/>
  <c r="P58" i="24"/>
  <c r="M58" i="24"/>
  <c r="K58" i="24"/>
  <c r="K92" i="24" s="1"/>
  <c r="J58" i="24"/>
  <c r="I58" i="24"/>
  <c r="I92" i="24" s="1"/>
  <c r="G91" i="24"/>
  <c r="P54" i="24"/>
  <c r="P51" i="30" s="1"/>
  <c r="N54" i="24"/>
  <c r="M54" i="24"/>
  <c r="M51" i="30" s="1"/>
  <c r="K54" i="24"/>
  <c r="K51" i="30" s="1"/>
  <c r="J54" i="24"/>
  <c r="J51" i="30" s="1"/>
  <c r="I54" i="24"/>
  <c r="G54" i="24"/>
  <c r="G51" i="30" s="1"/>
  <c r="D51" i="24"/>
  <c r="Q50" i="24"/>
  <c r="D50" i="24"/>
  <c r="X49" i="24"/>
  <c r="D49" i="24"/>
  <c r="D48" i="24"/>
  <c r="F47" i="24"/>
  <c r="D47" i="24"/>
  <c r="Q46" i="24"/>
  <c r="F46" i="24"/>
  <c r="D46" i="24"/>
  <c r="X45" i="24"/>
  <c r="D45" i="24"/>
  <c r="X44" i="24"/>
  <c r="Q44" i="24"/>
  <c r="D44" i="24"/>
  <c r="X43" i="24"/>
  <c r="F43" i="24"/>
  <c r="D43" i="24"/>
  <c r="D42" i="24"/>
  <c r="F41" i="24"/>
  <c r="D41" i="24"/>
  <c r="X38" i="24"/>
  <c r="Q38" i="24"/>
  <c r="D38" i="24"/>
  <c r="F38" i="24" s="1"/>
  <c r="Q37" i="24"/>
  <c r="D37" i="24"/>
  <c r="D36" i="24"/>
  <c r="Q35" i="24"/>
  <c r="D35" i="24"/>
  <c r="X34" i="24"/>
  <c r="F34" i="24"/>
  <c r="D34" i="24"/>
  <c r="Q34" i="24" s="1"/>
  <c r="D33" i="24"/>
  <c r="F32" i="24"/>
  <c r="D32" i="24"/>
  <c r="Q31" i="24"/>
  <c r="F31" i="24"/>
  <c r="D31" i="24"/>
  <c r="D30" i="24"/>
  <c r="D29" i="24"/>
  <c r="X28" i="24"/>
  <c r="Q28" i="24"/>
  <c r="F28" i="24"/>
  <c r="D28" i="24"/>
  <c r="Q25" i="24"/>
  <c r="D25" i="24"/>
  <c r="Q24" i="24"/>
  <c r="D24" i="24"/>
  <c r="X23" i="24"/>
  <c r="D23" i="24"/>
  <c r="Q22" i="24"/>
  <c r="D22" i="24"/>
  <c r="D21" i="24"/>
  <c r="D20" i="24"/>
  <c r="F19" i="24"/>
  <c r="D19" i="24"/>
  <c r="Q18" i="24"/>
  <c r="F18" i="24"/>
  <c r="D18" i="24"/>
  <c r="X17" i="24"/>
  <c r="D17" i="24"/>
  <c r="X16" i="24"/>
  <c r="Q16" i="24"/>
  <c r="D16" i="24"/>
  <c r="X15" i="24"/>
  <c r="F15" i="24"/>
  <c r="D15" i="24"/>
  <c r="AA11" i="24"/>
  <c r="W11" i="24"/>
  <c r="T11" i="24"/>
  <c r="P11" i="24"/>
  <c r="M11" i="24"/>
  <c r="I11" i="24"/>
  <c r="E11" i="24"/>
  <c r="A2" i="24"/>
  <c r="A3" i="24" s="1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I83" i="23"/>
  <c r="L78" i="23"/>
  <c r="J78" i="23"/>
  <c r="I78" i="23"/>
  <c r="H78" i="23"/>
  <c r="I71" i="23"/>
  <c r="H83" i="23"/>
  <c r="P70" i="23"/>
  <c r="M70" i="23"/>
  <c r="L70" i="23"/>
  <c r="I70" i="23"/>
  <c r="J70" i="23" s="1"/>
  <c r="O70" i="23" s="1"/>
  <c r="I69" i="23"/>
  <c r="P68" i="23"/>
  <c r="O68" i="23"/>
  <c r="M68" i="23"/>
  <c r="I67" i="23"/>
  <c r="M67" i="23" s="1"/>
  <c r="J66" i="23"/>
  <c r="O66" i="23" s="1"/>
  <c r="I66" i="23"/>
  <c r="M66" i="23" s="1"/>
  <c r="I65" i="23"/>
  <c r="I64" i="23"/>
  <c r="C53" i="23"/>
  <c r="Q52" i="23"/>
  <c r="I52" i="23" s="1"/>
  <c r="Q43" i="23"/>
  <c r="P40" i="23"/>
  <c r="M40" i="23"/>
  <c r="L40" i="23"/>
  <c r="J40" i="23"/>
  <c r="I40" i="23"/>
  <c r="J39" i="23"/>
  <c r="I39" i="23"/>
  <c r="P38" i="23"/>
  <c r="O38" i="23"/>
  <c r="M38" i="23"/>
  <c r="I38" i="23"/>
  <c r="J38" i="23" s="1"/>
  <c r="L38" i="23" s="1"/>
  <c r="P36" i="23"/>
  <c r="O36" i="23"/>
  <c r="M36" i="23"/>
  <c r="L36" i="23"/>
  <c r="J36" i="23"/>
  <c r="I36" i="23"/>
  <c r="H36" i="23"/>
  <c r="I30" i="23"/>
  <c r="I13" i="23"/>
  <c r="C11" i="23"/>
  <c r="C23" i="23" s="1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3" i="23"/>
  <c r="A4" i="23" s="1"/>
  <c r="A5" i="23" s="1"/>
  <c r="A6" i="23" s="1"/>
  <c r="A7" i="23" s="1"/>
  <c r="A8" i="23" s="1"/>
  <c r="A2" i="23"/>
  <c r="A81" i="22"/>
  <c r="G80" i="22"/>
  <c r="M70" i="22"/>
  <c r="K70" i="22"/>
  <c r="J70" i="22"/>
  <c r="I70" i="22"/>
  <c r="I80" i="22" s="1"/>
  <c r="J16" i="22" s="1"/>
  <c r="K69" i="22"/>
  <c r="P69" i="22" s="1"/>
  <c r="J69" i="22"/>
  <c r="I69" i="22"/>
  <c r="M69" i="22" s="1"/>
  <c r="M68" i="22"/>
  <c r="I68" i="22"/>
  <c r="P67" i="22"/>
  <c r="M67" i="22"/>
  <c r="P66" i="22"/>
  <c r="K66" i="22"/>
  <c r="J66" i="22"/>
  <c r="I66" i="22"/>
  <c r="M66" i="22" s="1"/>
  <c r="Q63" i="22"/>
  <c r="Q62" i="22"/>
  <c r="Q54" i="22"/>
  <c r="K54" i="22"/>
  <c r="J54" i="22"/>
  <c r="N54" i="22" s="1"/>
  <c r="I54" i="22"/>
  <c r="M54" i="22" s="1"/>
  <c r="Q49" i="22"/>
  <c r="Q46" i="22"/>
  <c r="N41" i="22"/>
  <c r="K41" i="22"/>
  <c r="K76" i="22" s="1"/>
  <c r="J41" i="22"/>
  <c r="J76" i="22" s="1"/>
  <c r="I41" i="22"/>
  <c r="M41" i="22" s="1"/>
  <c r="G76" i="22"/>
  <c r="P39" i="22"/>
  <c r="N39" i="22"/>
  <c r="M39" i="22"/>
  <c r="K39" i="22"/>
  <c r="J39" i="22"/>
  <c r="I39" i="22"/>
  <c r="G39" i="22"/>
  <c r="A38" i="22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D36" i="22"/>
  <c r="D35" i="22"/>
  <c r="D34" i="22"/>
  <c r="D33" i="22"/>
  <c r="D32" i="22"/>
  <c r="D31" i="22"/>
  <c r="D28" i="22"/>
  <c r="D27" i="22"/>
  <c r="J26" i="22"/>
  <c r="F26" i="22"/>
  <c r="D26" i="22"/>
  <c r="D25" i="22"/>
  <c r="J24" i="22"/>
  <c r="D24" i="22"/>
  <c r="D23" i="22"/>
  <c r="A23" i="22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F20" i="22"/>
  <c r="D20" i="22"/>
  <c r="D19" i="22"/>
  <c r="D18" i="22"/>
  <c r="J17" i="22"/>
  <c r="D17" i="22"/>
  <c r="D16" i="22"/>
  <c r="D15" i="22"/>
  <c r="AA11" i="22"/>
  <c r="W11" i="22"/>
  <c r="T11" i="22"/>
  <c r="P11" i="22"/>
  <c r="M11" i="22"/>
  <c r="I11" i="22"/>
  <c r="E11" i="22"/>
  <c r="A11" i="22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3" i="22"/>
  <c r="A4" i="22" s="1"/>
  <c r="A5" i="22" s="1"/>
  <c r="A6" i="22" s="1"/>
  <c r="A7" i="22" s="1"/>
  <c r="A8" i="22" s="1"/>
  <c r="A9" i="22" s="1"/>
  <c r="A10" i="22" s="1"/>
  <c r="A2" i="22"/>
  <c r="L53" i="21"/>
  <c r="J53" i="21"/>
  <c r="I53" i="21"/>
  <c r="H61" i="21"/>
  <c r="E17" i="21" s="1"/>
  <c r="J52" i="21"/>
  <c r="L52" i="21"/>
  <c r="P52" i="21" s="1"/>
  <c r="P50" i="21"/>
  <c r="O50" i="21"/>
  <c r="A43" i="2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Q42" i="21"/>
  <c r="Q36" i="21"/>
  <c r="C34" i="21"/>
  <c r="A34" i="21"/>
  <c r="A35" i="21" s="1"/>
  <c r="A36" i="21" s="1"/>
  <c r="A37" i="21" s="1"/>
  <c r="A38" i="21" s="1"/>
  <c r="A39" i="21" s="1"/>
  <c r="A40" i="21" s="1"/>
  <c r="A41" i="21" s="1"/>
  <c r="A42" i="21" s="1"/>
  <c r="A30" i="21"/>
  <c r="A31" i="21" s="1"/>
  <c r="A32" i="21" s="1"/>
  <c r="A33" i="21" s="1"/>
  <c r="L26" i="21"/>
  <c r="P26" i="21" s="1"/>
  <c r="J26" i="21"/>
  <c r="O26" i="21" s="1"/>
  <c r="I26" i="21"/>
  <c r="M26" i="21" s="1"/>
  <c r="M25" i="21"/>
  <c r="L25" i="21"/>
  <c r="J25" i="21"/>
  <c r="I25" i="21"/>
  <c r="L24" i="21"/>
  <c r="J24" i="21"/>
  <c r="O24" i="21" s="1"/>
  <c r="I24" i="21"/>
  <c r="H58" i="21"/>
  <c r="P22" i="21"/>
  <c r="O22" i="21"/>
  <c r="M22" i="21"/>
  <c r="L22" i="21"/>
  <c r="J22" i="21"/>
  <c r="I22" i="21"/>
  <c r="H22" i="21"/>
  <c r="E19" i="21"/>
  <c r="E18" i="21"/>
  <c r="E16" i="21"/>
  <c r="E15" i="21"/>
  <c r="E14" i="21"/>
  <c r="E13" i="21"/>
  <c r="Z11" i="21"/>
  <c r="V11" i="21"/>
  <c r="S11" i="21"/>
  <c r="O11" i="21"/>
  <c r="L11" i="21"/>
  <c r="H11" i="21"/>
  <c r="D11" i="21"/>
  <c r="A2" i="21"/>
  <c r="A3" i="21" s="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I54" i="20"/>
  <c r="H54" i="20"/>
  <c r="E15" i="20" s="1"/>
  <c r="M50" i="20"/>
  <c r="L50" i="20"/>
  <c r="J50" i="20"/>
  <c r="I50" i="20"/>
  <c r="J48" i="20"/>
  <c r="L48" i="20"/>
  <c r="M47" i="20"/>
  <c r="L46" i="20"/>
  <c r="J46" i="20"/>
  <c r="O46" i="20" s="1"/>
  <c r="I46" i="20"/>
  <c r="M46" i="20" s="1"/>
  <c r="Q43" i="20"/>
  <c r="L43" i="20"/>
  <c r="P43" i="20" s="1"/>
  <c r="I43" i="20"/>
  <c r="M43" i="20" s="1"/>
  <c r="J43" i="20"/>
  <c r="Q41" i="20"/>
  <c r="Q38" i="20"/>
  <c r="Q32" i="20"/>
  <c r="I32" i="20"/>
  <c r="M32" i="20" s="1"/>
  <c r="C32" i="20"/>
  <c r="C26" i="20"/>
  <c r="A26" i="20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J24" i="20"/>
  <c r="I24" i="20"/>
  <c r="J23" i="20"/>
  <c r="H52" i="20"/>
  <c r="P21" i="20"/>
  <c r="O21" i="20"/>
  <c r="M21" i="20"/>
  <c r="L21" i="20"/>
  <c r="J21" i="20"/>
  <c r="I21" i="20"/>
  <c r="H21" i="20"/>
  <c r="I18" i="20"/>
  <c r="E18" i="20"/>
  <c r="I17" i="20"/>
  <c r="E16" i="20"/>
  <c r="I15" i="20"/>
  <c r="I14" i="20"/>
  <c r="E13" i="20"/>
  <c r="Z11" i="20"/>
  <c r="V11" i="20"/>
  <c r="S11" i="20"/>
  <c r="O11" i="20"/>
  <c r="L11" i="20"/>
  <c r="H11" i="20"/>
  <c r="D11" i="20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3" i="20"/>
  <c r="A4" i="20" s="1"/>
  <c r="A5" i="20" s="1"/>
  <c r="A6" i="20" s="1"/>
  <c r="A7" i="20" s="1"/>
  <c r="A8" i="20" s="1"/>
  <c r="A9" i="20" s="1"/>
  <c r="A2" i="20"/>
  <c r="L57" i="19"/>
  <c r="P54" i="19"/>
  <c r="J54" i="19"/>
  <c r="L54" i="19"/>
  <c r="J53" i="19"/>
  <c r="L53" i="19"/>
  <c r="O52" i="19"/>
  <c r="M52" i="19"/>
  <c r="P52" i="19"/>
  <c r="J51" i="19"/>
  <c r="L51" i="19"/>
  <c r="Q47" i="19"/>
  <c r="Q43" i="19"/>
  <c r="C43" i="19"/>
  <c r="Q37" i="19"/>
  <c r="C37" i="19"/>
  <c r="Q32" i="19"/>
  <c r="C31" i="19"/>
  <c r="Q30" i="19"/>
  <c r="L28" i="19"/>
  <c r="P28" i="19" s="1"/>
  <c r="J28" i="19"/>
  <c r="P26" i="19"/>
  <c r="O26" i="19"/>
  <c r="M26" i="19"/>
  <c r="L26" i="19"/>
  <c r="J26" i="19"/>
  <c r="I26" i="19"/>
  <c r="H26" i="19"/>
  <c r="A17" i="19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Z11" i="19"/>
  <c r="V11" i="19"/>
  <c r="S11" i="19"/>
  <c r="O11" i="19"/>
  <c r="L11" i="19"/>
  <c r="H11" i="19"/>
  <c r="D11" i="19"/>
  <c r="A2" i="19"/>
  <c r="A3" i="19" s="1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K75" i="18"/>
  <c r="J75" i="18"/>
  <c r="I75" i="18"/>
  <c r="G75" i="18"/>
  <c r="N70" i="18"/>
  <c r="M70" i="18"/>
  <c r="J70" i="18"/>
  <c r="K70" i="18" s="1"/>
  <c r="P70" i="18" s="1"/>
  <c r="I70" i="18"/>
  <c r="N69" i="18"/>
  <c r="M69" i="18"/>
  <c r="J69" i="18"/>
  <c r="K69" i="18" s="1"/>
  <c r="P69" i="18" s="1"/>
  <c r="I69" i="18"/>
  <c r="J68" i="18"/>
  <c r="K68" i="18" s="1"/>
  <c r="P68" i="18" s="1"/>
  <c r="I68" i="18"/>
  <c r="M68" i="18" s="1"/>
  <c r="P67" i="18"/>
  <c r="N67" i="18"/>
  <c r="M67" i="18"/>
  <c r="J66" i="18"/>
  <c r="I66" i="18"/>
  <c r="M66" i="18" s="1"/>
  <c r="I65" i="18"/>
  <c r="M65" i="18" s="1"/>
  <c r="Q56" i="18"/>
  <c r="C54" i="18"/>
  <c r="C53" i="18"/>
  <c r="M42" i="18"/>
  <c r="I42" i="18"/>
  <c r="I73" i="18" s="1"/>
  <c r="P39" i="18"/>
  <c r="N39" i="18"/>
  <c r="M39" i="18"/>
  <c r="K39" i="18"/>
  <c r="J39" i="18"/>
  <c r="I39" i="18"/>
  <c r="G39" i="18"/>
  <c r="D36" i="18"/>
  <c r="D35" i="18"/>
  <c r="D34" i="18"/>
  <c r="F34" i="18" s="1"/>
  <c r="F33" i="18"/>
  <c r="D33" i="18"/>
  <c r="A33" i="18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D32" i="18"/>
  <c r="D31" i="18"/>
  <c r="Q28" i="18"/>
  <c r="D28" i="18"/>
  <c r="F27" i="18"/>
  <c r="D27" i="18"/>
  <c r="Q26" i="18"/>
  <c r="D26" i="18"/>
  <c r="D25" i="18"/>
  <c r="X24" i="18"/>
  <c r="Q24" i="18"/>
  <c r="D24" i="18"/>
  <c r="D23" i="18"/>
  <c r="A23" i="18"/>
  <c r="A24" i="18" s="1"/>
  <c r="A25" i="18" s="1"/>
  <c r="A26" i="18" s="1"/>
  <c r="A27" i="18" s="1"/>
  <c r="A28" i="18" s="1"/>
  <c r="A29" i="18" s="1"/>
  <c r="A30" i="18" s="1"/>
  <c r="A31" i="18" s="1"/>
  <c r="A32" i="18" s="1"/>
  <c r="A21" i="18"/>
  <c r="A22" i="18" s="1"/>
  <c r="D20" i="18"/>
  <c r="F20" i="18" s="1"/>
  <c r="D19" i="18"/>
  <c r="J18" i="18"/>
  <c r="D18" i="18"/>
  <c r="J17" i="18"/>
  <c r="D17" i="18"/>
  <c r="A17" i="18"/>
  <c r="A18" i="18" s="1"/>
  <c r="A19" i="18" s="1"/>
  <c r="A20" i="18" s="1"/>
  <c r="D16" i="18"/>
  <c r="D15" i="18"/>
  <c r="AA11" i="18"/>
  <c r="W11" i="18"/>
  <c r="T11" i="18"/>
  <c r="P11" i="18"/>
  <c r="M11" i="18"/>
  <c r="I11" i="18"/>
  <c r="E11" i="18"/>
  <c r="A2" i="18"/>
  <c r="A3" i="18" s="1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J77" i="17"/>
  <c r="I77" i="17"/>
  <c r="G77" i="17"/>
  <c r="G76" i="17"/>
  <c r="J75" i="17"/>
  <c r="G75" i="17"/>
  <c r="I73" i="17"/>
  <c r="M73" i="17" s="1"/>
  <c r="J73" i="17"/>
  <c r="P72" i="17"/>
  <c r="N72" i="17"/>
  <c r="M72" i="17"/>
  <c r="K72" i="17"/>
  <c r="I72" i="17"/>
  <c r="J72" i="17"/>
  <c r="J71" i="17"/>
  <c r="P70" i="17"/>
  <c r="M70" i="17"/>
  <c r="N70" i="17"/>
  <c r="N69" i="17"/>
  <c r="J69" i="17"/>
  <c r="K69" i="17" s="1"/>
  <c r="K77" i="17" s="1"/>
  <c r="I69" i="17"/>
  <c r="M69" i="17" s="1"/>
  <c r="M68" i="17"/>
  <c r="J68" i="17"/>
  <c r="I68" i="17"/>
  <c r="Q67" i="17"/>
  <c r="Q63" i="17"/>
  <c r="C60" i="17"/>
  <c r="Q54" i="17"/>
  <c r="C52" i="17"/>
  <c r="C48" i="17"/>
  <c r="P46" i="17"/>
  <c r="N46" i="17"/>
  <c r="I46" i="17"/>
  <c r="J46" i="17"/>
  <c r="K46" i="17" s="1"/>
  <c r="P45" i="17"/>
  <c r="N45" i="17"/>
  <c r="K45" i="17"/>
  <c r="J45" i="17"/>
  <c r="I45" i="17"/>
  <c r="M45" i="17" s="1"/>
  <c r="N44" i="17"/>
  <c r="J44" i="17"/>
  <c r="I44" i="17"/>
  <c r="P43" i="17"/>
  <c r="N43" i="17"/>
  <c r="M43" i="17"/>
  <c r="J43" i="17"/>
  <c r="K43" i="17" s="1"/>
  <c r="K75" i="17" s="1"/>
  <c r="I43" i="17"/>
  <c r="I75" i="17" s="1"/>
  <c r="P41" i="17"/>
  <c r="N41" i="17"/>
  <c r="M41" i="17"/>
  <c r="K41" i="17"/>
  <c r="J41" i="17"/>
  <c r="I41" i="17"/>
  <c r="G41" i="17"/>
  <c r="D38" i="17"/>
  <c r="D37" i="17"/>
  <c r="D36" i="17"/>
  <c r="D35" i="17"/>
  <c r="D34" i="17"/>
  <c r="D33" i="17"/>
  <c r="D32" i="17"/>
  <c r="D29" i="17"/>
  <c r="D28" i="17"/>
  <c r="D27" i="17"/>
  <c r="D26" i="17"/>
  <c r="D25" i="17"/>
  <c r="D24" i="17"/>
  <c r="D23" i="17"/>
  <c r="D20" i="17"/>
  <c r="D19" i="17"/>
  <c r="D18" i="17"/>
  <c r="D17" i="17"/>
  <c r="D16" i="17"/>
  <c r="A16" i="17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D15" i="17"/>
  <c r="D14" i="17"/>
  <c r="D11" i="17"/>
  <c r="AA10" i="17"/>
  <c r="W10" i="17"/>
  <c r="T10" i="17"/>
  <c r="P10" i="17"/>
  <c r="M10" i="17"/>
  <c r="I10" i="17"/>
  <c r="E10" i="17"/>
  <c r="D10" i="17"/>
  <c r="C10" i="17"/>
  <c r="A3" i="17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2" i="17"/>
  <c r="A94" i="16"/>
  <c r="G93" i="16"/>
  <c r="J90" i="16"/>
  <c r="I90" i="16"/>
  <c r="G90" i="16"/>
  <c r="J89" i="16"/>
  <c r="I89" i="16"/>
  <c r="G89" i="16"/>
  <c r="I85" i="16"/>
  <c r="M85" i="16" s="1"/>
  <c r="J85" i="16"/>
  <c r="P84" i="16"/>
  <c r="J83" i="16"/>
  <c r="K83" i="16" s="1"/>
  <c r="P83" i="16" s="1"/>
  <c r="I83" i="16"/>
  <c r="M83" i="16" s="1"/>
  <c r="P82" i="16"/>
  <c r="K82" i="16"/>
  <c r="J82" i="16"/>
  <c r="I82" i="16"/>
  <c r="Q78" i="16"/>
  <c r="C75" i="16"/>
  <c r="Q74" i="16"/>
  <c r="Q73" i="16"/>
  <c r="J73" i="16" s="1"/>
  <c r="N73" i="16"/>
  <c r="K73" i="16"/>
  <c r="P73" i="16" s="1"/>
  <c r="I73" i="16"/>
  <c r="M73" i="16" s="1"/>
  <c r="Q72" i="16"/>
  <c r="C70" i="16"/>
  <c r="C67" i="16"/>
  <c r="P60" i="16"/>
  <c r="N60" i="16"/>
  <c r="M60" i="16"/>
  <c r="J60" i="16"/>
  <c r="K60" i="16" s="1"/>
  <c r="I60" i="16"/>
  <c r="K59" i="16"/>
  <c r="J59" i="16"/>
  <c r="G91" i="16"/>
  <c r="P58" i="16"/>
  <c r="N58" i="16"/>
  <c r="M58" i="16"/>
  <c r="J58" i="16"/>
  <c r="K58" i="16" s="1"/>
  <c r="K90" i="16" s="1"/>
  <c r="I58" i="16"/>
  <c r="N57" i="16"/>
  <c r="M57" i="16"/>
  <c r="K57" i="16"/>
  <c r="I57" i="16"/>
  <c r="J57" i="16"/>
  <c r="P55" i="16"/>
  <c r="N55" i="16"/>
  <c r="M55" i="16"/>
  <c r="K55" i="16"/>
  <c r="J55" i="16"/>
  <c r="I55" i="16"/>
  <c r="G55" i="16"/>
  <c r="D52" i="16"/>
  <c r="D51" i="16"/>
  <c r="D50" i="16"/>
  <c r="D49" i="16"/>
  <c r="D48" i="16"/>
  <c r="D47" i="16"/>
  <c r="F46" i="16"/>
  <c r="D46" i="16"/>
  <c r="F45" i="16"/>
  <c r="D45" i="16"/>
  <c r="D44" i="16"/>
  <c r="D43" i="16"/>
  <c r="D42" i="16"/>
  <c r="F39" i="16"/>
  <c r="D39" i="16"/>
  <c r="F38" i="16"/>
  <c r="D38" i="16"/>
  <c r="D37" i="16"/>
  <c r="D36" i="16"/>
  <c r="D35" i="16"/>
  <c r="A35" i="16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D34" i="16"/>
  <c r="F33" i="16"/>
  <c r="D33" i="16"/>
  <c r="D32" i="16"/>
  <c r="F31" i="16"/>
  <c r="D31" i="16"/>
  <c r="D30" i="16"/>
  <c r="F29" i="16"/>
  <c r="D29" i="16"/>
  <c r="A29" i="16"/>
  <c r="A30" i="16" s="1"/>
  <c r="A31" i="16" s="1"/>
  <c r="A32" i="16" s="1"/>
  <c r="A33" i="16" s="1"/>
  <c r="A34" i="16" s="1"/>
  <c r="F26" i="16"/>
  <c r="D26" i="16"/>
  <c r="D25" i="16"/>
  <c r="F25" i="16" s="1"/>
  <c r="D24" i="16"/>
  <c r="D23" i="16"/>
  <c r="D22" i="16"/>
  <c r="D21" i="16"/>
  <c r="F20" i="16"/>
  <c r="D20" i="16"/>
  <c r="F19" i="16"/>
  <c r="D19" i="16"/>
  <c r="D18" i="16"/>
  <c r="D17" i="16"/>
  <c r="D16" i="16"/>
  <c r="AA12" i="16"/>
  <c r="W12" i="16"/>
  <c r="T12" i="16"/>
  <c r="P12" i="16"/>
  <c r="M12" i="16"/>
  <c r="I12" i="16"/>
  <c r="E12" i="16"/>
  <c r="A2" i="16"/>
  <c r="A3" i="16" s="1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M54" i="15"/>
  <c r="L54" i="15"/>
  <c r="J54" i="15"/>
  <c r="I54" i="15"/>
  <c r="I58" i="15" s="1"/>
  <c r="H58" i="15"/>
  <c r="L53" i="15"/>
  <c r="M52" i="15"/>
  <c r="J52" i="15"/>
  <c r="O52" i="15" s="1"/>
  <c r="I52" i="15"/>
  <c r="L52" i="15"/>
  <c r="P51" i="15"/>
  <c r="O51" i="15"/>
  <c r="L50" i="15"/>
  <c r="J50" i="15"/>
  <c r="O50" i="15" s="1"/>
  <c r="I50" i="15"/>
  <c r="M50" i="15" s="1"/>
  <c r="Q47" i="15"/>
  <c r="Q46" i="15"/>
  <c r="I46" i="15" s="1"/>
  <c r="O46" i="15"/>
  <c r="M46" i="15"/>
  <c r="L46" i="15"/>
  <c r="P46" i="15" s="1"/>
  <c r="J46" i="15"/>
  <c r="Q45" i="15"/>
  <c r="J45" i="15"/>
  <c r="Q42" i="15"/>
  <c r="L42" i="15"/>
  <c r="Q41" i="15"/>
  <c r="L41" i="15"/>
  <c r="J41" i="15"/>
  <c r="O41" i="15" s="1"/>
  <c r="I41" i="15"/>
  <c r="M41" i="15" s="1"/>
  <c r="C39" i="15"/>
  <c r="C36" i="15"/>
  <c r="Q34" i="15"/>
  <c r="C34" i="15"/>
  <c r="Q33" i="15"/>
  <c r="Q30" i="15"/>
  <c r="M28" i="15"/>
  <c r="L28" i="15"/>
  <c r="J28" i="15"/>
  <c r="P28" i="15" s="1"/>
  <c r="I28" i="15"/>
  <c r="P25" i="15"/>
  <c r="O25" i="15"/>
  <c r="M25" i="15"/>
  <c r="L25" i="15"/>
  <c r="J25" i="15"/>
  <c r="I25" i="15"/>
  <c r="H25" i="15"/>
  <c r="E22" i="15"/>
  <c r="I21" i="15"/>
  <c r="I20" i="15"/>
  <c r="E20" i="15"/>
  <c r="I19" i="15"/>
  <c r="E18" i="15"/>
  <c r="I17" i="15"/>
  <c r="E16" i="15"/>
  <c r="I13" i="15"/>
  <c r="I12" i="15"/>
  <c r="E12" i="15"/>
  <c r="Z10" i="15"/>
  <c r="V10" i="15"/>
  <c r="S10" i="15"/>
  <c r="O10" i="15"/>
  <c r="L10" i="15"/>
  <c r="H10" i="15"/>
  <c r="D10" i="15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3" i="15"/>
  <c r="A4" i="15" s="1"/>
  <c r="A5" i="15" s="1"/>
  <c r="A6" i="15" s="1"/>
  <c r="A2" i="15"/>
  <c r="J59" i="14"/>
  <c r="H57" i="14"/>
  <c r="J55" i="14"/>
  <c r="L55" i="14"/>
  <c r="L54" i="14"/>
  <c r="J54" i="14"/>
  <c r="O54" i="14" s="1"/>
  <c r="I54" i="14"/>
  <c r="M54" i="14" s="1"/>
  <c r="M52" i="14"/>
  <c r="P52" i="14"/>
  <c r="O52" i="14"/>
  <c r="I51" i="14"/>
  <c r="M51" i="14" s="1"/>
  <c r="L51" i="14"/>
  <c r="Q50" i="14"/>
  <c r="C50" i="14"/>
  <c r="Q48" i="14"/>
  <c r="Q47" i="14"/>
  <c r="Q44" i="14"/>
  <c r="C44" i="14"/>
  <c r="Q43" i="14"/>
  <c r="Q42" i="14"/>
  <c r="M42" i="14"/>
  <c r="L42" i="14"/>
  <c r="J42" i="14"/>
  <c r="O42" i="14" s="1"/>
  <c r="I42" i="14"/>
  <c r="Q41" i="14"/>
  <c r="I41" i="14"/>
  <c r="M41" i="14" s="1"/>
  <c r="C40" i="14"/>
  <c r="Q37" i="14"/>
  <c r="L37" i="14"/>
  <c r="Q35" i="14"/>
  <c r="Q32" i="14"/>
  <c r="C31" i="14"/>
  <c r="A31" i="14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Q30" i="14"/>
  <c r="J29" i="14"/>
  <c r="J28" i="14"/>
  <c r="L28" i="14"/>
  <c r="L57" i="14" s="1"/>
  <c r="P26" i="14"/>
  <c r="O26" i="14"/>
  <c r="M26" i="14"/>
  <c r="L26" i="14"/>
  <c r="K26" i="14"/>
  <c r="J26" i="14"/>
  <c r="I26" i="14"/>
  <c r="H26" i="14"/>
  <c r="A19" i="14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Z11" i="14"/>
  <c r="V11" i="14"/>
  <c r="S11" i="14"/>
  <c r="O11" i="14"/>
  <c r="L11" i="14"/>
  <c r="H11" i="14"/>
  <c r="D11" i="14"/>
  <c r="A2" i="14"/>
  <c r="A3" i="14" s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L59" i="13"/>
  <c r="J59" i="13"/>
  <c r="H59" i="13"/>
  <c r="H57" i="13"/>
  <c r="P55" i="13"/>
  <c r="M55" i="13"/>
  <c r="L55" i="13"/>
  <c r="J55" i="13"/>
  <c r="O55" i="13" s="1"/>
  <c r="I55" i="13"/>
  <c r="I59" i="13" s="1"/>
  <c r="I54" i="13"/>
  <c r="M54" i="13" s="1"/>
  <c r="J53" i="13"/>
  <c r="O53" i="13" s="1"/>
  <c r="I53" i="13"/>
  <c r="M53" i="13" s="1"/>
  <c r="L53" i="13"/>
  <c r="M52" i="13"/>
  <c r="I51" i="13"/>
  <c r="M51" i="13" s="1"/>
  <c r="L51" i="13"/>
  <c r="Q50" i="13"/>
  <c r="Q48" i="13"/>
  <c r="Q47" i="13"/>
  <c r="M47" i="13"/>
  <c r="L47" i="13"/>
  <c r="J47" i="13"/>
  <c r="O47" i="13" s="1"/>
  <c r="I47" i="13"/>
  <c r="Q46" i="13"/>
  <c r="Q44" i="13"/>
  <c r="C44" i="13"/>
  <c r="Q43" i="13"/>
  <c r="Q42" i="13"/>
  <c r="L42" i="13"/>
  <c r="Q41" i="13"/>
  <c r="I41" i="13"/>
  <c r="M41" i="13" s="1"/>
  <c r="C40" i="13"/>
  <c r="Q37" i="13"/>
  <c r="Q35" i="13"/>
  <c r="Q32" i="13"/>
  <c r="I32" i="13" s="1"/>
  <c r="M32" i="13" s="1"/>
  <c r="J32" i="13"/>
  <c r="O32" i="13" s="1"/>
  <c r="C31" i="13"/>
  <c r="Q30" i="13"/>
  <c r="L30" i="13" s="1"/>
  <c r="J29" i="13"/>
  <c r="J28" i="13"/>
  <c r="L28" i="13"/>
  <c r="P26" i="13"/>
  <c r="O26" i="13"/>
  <c r="M26" i="13"/>
  <c r="L26" i="13"/>
  <c r="J26" i="13"/>
  <c r="I26" i="13"/>
  <c r="H26" i="13"/>
  <c r="A24" i="13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W22" i="13"/>
  <c r="I22" i="13"/>
  <c r="E22" i="13"/>
  <c r="E21" i="13"/>
  <c r="A21" i="13"/>
  <c r="A22" i="13" s="1"/>
  <c r="A23" i="13" s="1"/>
  <c r="I20" i="13"/>
  <c r="E20" i="13"/>
  <c r="E19" i="13"/>
  <c r="W18" i="13"/>
  <c r="P18" i="13"/>
  <c r="W17" i="13"/>
  <c r="E17" i="13"/>
  <c r="I16" i="13"/>
  <c r="A16" i="13"/>
  <c r="A17" i="13" s="1"/>
  <c r="A18" i="13" s="1"/>
  <c r="A19" i="13" s="1"/>
  <c r="A20" i="13" s="1"/>
  <c r="I15" i="13"/>
  <c r="E14" i="13"/>
  <c r="W13" i="13"/>
  <c r="I13" i="13"/>
  <c r="E13" i="13"/>
  <c r="Z11" i="13"/>
  <c r="V11" i="13"/>
  <c r="S11" i="13"/>
  <c r="O11" i="13"/>
  <c r="L11" i="13"/>
  <c r="H11" i="13"/>
  <c r="D11" i="13"/>
  <c r="A10" i="13"/>
  <c r="A11" i="13" s="1"/>
  <c r="A12" i="13" s="1"/>
  <c r="A13" i="13" s="1"/>
  <c r="A14" i="13" s="1"/>
  <c r="A15" i="13" s="1"/>
  <c r="A2" i="13"/>
  <c r="A3" i="13" s="1"/>
  <c r="A4" i="13" s="1"/>
  <c r="A5" i="13" s="1"/>
  <c r="A6" i="13" s="1"/>
  <c r="A7" i="13" s="1"/>
  <c r="A8" i="13" s="1"/>
  <c r="A9" i="13" s="1"/>
  <c r="A60" i="12"/>
  <c r="H57" i="12"/>
  <c r="L54" i="12"/>
  <c r="P54" i="12" s="1"/>
  <c r="J54" i="12"/>
  <c r="I54" i="12"/>
  <c r="M54" i="12" s="1"/>
  <c r="O53" i="12"/>
  <c r="M53" i="12"/>
  <c r="L53" i="12"/>
  <c r="P53" i="12" s="1"/>
  <c r="J53" i="12"/>
  <c r="I53" i="12"/>
  <c r="C52" i="12"/>
  <c r="Q50" i="12"/>
  <c r="Q49" i="12"/>
  <c r="I49" i="12"/>
  <c r="M49" i="12" s="1"/>
  <c r="Q48" i="12"/>
  <c r="Q47" i="12"/>
  <c r="Q79" i="25" s="1"/>
  <c r="L47" i="12"/>
  <c r="Q46" i="12"/>
  <c r="Q78" i="25" s="1"/>
  <c r="C46" i="12"/>
  <c r="Q45" i="12"/>
  <c r="Q58" i="23" s="1"/>
  <c r="I58" i="23" s="1"/>
  <c r="Q44" i="12"/>
  <c r="Q43" i="12"/>
  <c r="P43" i="12"/>
  <c r="L43" i="12"/>
  <c r="J43" i="12"/>
  <c r="Q42" i="12"/>
  <c r="C42" i="12"/>
  <c r="Q41" i="12"/>
  <c r="Q58" i="17" s="1"/>
  <c r="I41" i="12"/>
  <c r="M41" i="12" s="1"/>
  <c r="L41" i="12"/>
  <c r="Q40" i="12"/>
  <c r="C40" i="12"/>
  <c r="Q39" i="12"/>
  <c r="Q38" i="12"/>
  <c r="Q37" i="12"/>
  <c r="Q36" i="12"/>
  <c r="Q35" i="12"/>
  <c r="L35" i="12"/>
  <c r="C35" i="12"/>
  <c r="Q34" i="12"/>
  <c r="L34" i="12"/>
  <c r="Q33" i="12"/>
  <c r="Q32" i="12"/>
  <c r="C32" i="12"/>
  <c r="Q31" i="12"/>
  <c r="L31" i="12"/>
  <c r="J31" i="12"/>
  <c r="Q30" i="12"/>
  <c r="L30" i="12"/>
  <c r="C30" i="12"/>
  <c r="M29" i="12"/>
  <c r="I29" i="12"/>
  <c r="M28" i="12"/>
  <c r="I28" i="12"/>
  <c r="I57" i="12" s="1"/>
  <c r="L28" i="12"/>
  <c r="L57" i="12" s="1"/>
  <c r="P26" i="12"/>
  <c r="O26" i="12"/>
  <c r="M26" i="12"/>
  <c r="L26" i="12"/>
  <c r="J26" i="12"/>
  <c r="I26" i="12"/>
  <c r="H26" i="12"/>
  <c r="Z11" i="12"/>
  <c r="V11" i="12"/>
  <c r="S11" i="12"/>
  <c r="O11" i="12"/>
  <c r="L11" i="12"/>
  <c r="H11" i="12"/>
  <c r="D11" i="12"/>
  <c r="A2" i="12"/>
  <c r="A3" i="12" s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K79" i="11"/>
  <c r="G79" i="11"/>
  <c r="G76" i="11"/>
  <c r="J75" i="11"/>
  <c r="I75" i="11"/>
  <c r="K73" i="11"/>
  <c r="I72" i="11"/>
  <c r="M72" i="11" s="1"/>
  <c r="K72" i="11"/>
  <c r="M71" i="11"/>
  <c r="I71" i="11"/>
  <c r="K71" i="11"/>
  <c r="P70" i="11"/>
  <c r="N70" i="11"/>
  <c r="M69" i="11"/>
  <c r="I69" i="11"/>
  <c r="K69" i="11"/>
  <c r="K68" i="11"/>
  <c r="J68" i="11"/>
  <c r="I68" i="11"/>
  <c r="Q66" i="11"/>
  <c r="C66" i="11"/>
  <c r="Q64" i="11"/>
  <c r="Q62" i="11"/>
  <c r="C62" i="11"/>
  <c r="C60" i="11"/>
  <c r="Q59" i="11"/>
  <c r="Q58" i="11"/>
  <c r="I58" i="11" s="1"/>
  <c r="P58" i="11"/>
  <c r="N58" i="11"/>
  <c r="M58" i="11"/>
  <c r="K58" i="11"/>
  <c r="J58" i="11"/>
  <c r="Q57" i="11"/>
  <c r="Q56" i="11"/>
  <c r="K56" i="11"/>
  <c r="C55" i="11"/>
  <c r="Q54" i="11"/>
  <c r="C54" i="11"/>
  <c r="Q53" i="11"/>
  <c r="Q52" i="11"/>
  <c r="I52" i="11" s="1"/>
  <c r="M52" i="11"/>
  <c r="K52" i="11"/>
  <c r="J52" i="11"/>
  <c r="N52" i="11" s="1"/>
  <c r="C52" i="11"/>
  <c r="C50" i="11"/>
  <c r="C49" i="11"/>
  <c r="Q48" i="11"/>
  <c r="C48" i="11"/>
  <c r="M47" i="11"/>
  <c r="I47" i="11"/>
  <c r="C47" i="11"/>
  <c r="P46" i="11"/>
  <c r="N46" i="11"/>
  <c r="K46" i="11"/>
  <c r="J46" i="11"/>
  <c r="I46" i="11"/>
  <c r="M46" i="11" s="1"/>
  <c r="I45" i="11"/>
  <c r="K44" i="11"/>
  <c r="J44" i="11"/>
  <c r="P44" i="11" s="1"/>
  <c r="I44" i="11"/>
  <c r="M44" i="11" s="1"/>
  <c r="K43" i="11"/>
  <c r="J43" i="11"/>
  <c r="N43" i="11" s="1"/>
  <c r="I43" i="11"/>
  <c r="M43" i="11" s="1"/>
  <c r="G75" i="11"/>
  <c r="P41" i="11"/>
  <c r="N41" i="11"/>
  <c r="M41" i="11"/>
  <c r="K41" i="11"/>
  <c r="J41" i="11"/>
  <c r="I41" i="11"/>
  <c r="G41" i="11"/>
  <c r="F38" i="11"/>
  <c r="D38" i="11"/>
  <c r="D37" i="11"/>
  <c r="D36" i="11"/>
  <c r="F36" i="11" s="1"/>
  <c r="X35" i="11"/>
  <c r="D35" i="11"/>
  <c r="F35" i="11" s="1"/>
  <c r="D34" i="11"/>
  <c r="X33" i="11"/>
  <c r="D33" i="11"/>
  <c r="D32" i="11"/>
  <c r="F32" i="11" s="1"/>
  <c r="D29" i="11"/>
  <c r="X28" i="11"/>
  <c r="D28" i="11"/>
  <c r="X27" i="11"/>
  <c r="F27" i="11"/>
  <c r="D27" i="11"/>
  <c r="X26" i="11"/>
  <c r="D26" i="11"/>
  <c r="D25" i="11"/>
  <c r="D24" i="11"/>
  <c r="X24" i="11" s="1"/>
  <c r="X23" i="11"/>
  <c r="D23" i="11"/>
  <c r="D20" i="11"/>
  <c r="D19" i="11"/>
  <c r="D18" i="11"/>
  <c r="F18" i="11" s="1"/>
  <c r="D17" i="11"/>
  <c r="D16" i="11"/>
  <c r="D15" i="11"/>
  <c r="D14" i="1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D11" i="11"/>
  <c r="AA10" i="11"/>
  <c r="W10" i="11"/>
  <c r="T10" i="11"/>
  <c r="P10" i="11"/>
  <c r="M10" i="11"/>
  <c r="I10" i="11"/>
  <c r="E10" i="11"/>
  <c r="C10" i="11"/>
  <c r="A4" i="11"/>
  <c r="A5" i="11" s="1"/>
  <c r="A6" i="11" s="1"/>
  <c r="A7" i="11" s="1"/>
  <c r="A8" i="11" s="1"/>
  <c r="A9" i="11" s="1"/>
  <c r="A10" i="11" s="1"/>
  <c r="A11" i="11" s="1"/>
  <c r="A12" i="11" s="1"/>
  <c r="A3" i="11"/>
  <c r="A2" i="11"/>
  <c r="L52" i="10"/>
  <c r="J51" i="10"/>
  <c r="L50" i="10"/>
  <c r="J50" i="10"/>
  <c r="I50" i="10"/>
  <c r="M50" i="10" s="1"/>
  <c r="P49" i="10"/>
  <c r="M49" i="10"/>
  <c r="Q47" i="10"/>
  <c r="C47" i="10"/>
  <c r="C67" i="11" s="1"/>
  <c r="Q46" i="10"/>
  <c r="C46" i="10"/>
  <c r="Q45" i="10"/>
  <c r="Q65" i="11" s="1"/>
  <c r="J45" i="10"/>
  <c r="C45" i="10"/>
  <c r="C65" i="11" s="1"/>
  <c r="Q44" i="10"/>
  <c r="C44" i="10"/>
  <c r="C64" i="11" s="1"/>
  <c r="Q43" i="10"/>
  <c r="C43" i="10"/>
  <c r="C63" i="11" s="1"/>
  <c r="Q42" i="10"/>
  <c r="I42" i="10"/>
  <c r="M42" i="10" s="1"/>
  <c r="C42" i="10"/>
  <c r="Q41" i="10"/>
  <c r="C41" i="10"/>
  <c r="C61" i="11" s="1"/>
  <c r="Q40" i="10"/>
  <c r="C40" i="10"/>
  <c r="Q39" i="10"/>
  <c r="C39" i="10"/>
  <c r="C59" i="11" s="1"/>
  <c r="Q38" i="10"/>
  <c r="C38" i="10"/>
  <c r="C58" i="11" s="1"/>
  <c r="Q37" i="10"/>
  <c r="J37" i="10" s="1"/>
  <c r="I37" i="10"/>
  <c r="M37" i="10" s="1"/>
  <c r="C37" i="10"/>
  <c r="C57" i="11" s="1"/>
  <c r="Q36" i="10"/>
  <c r="I36" i="10"/>
  <c r="M36" i="10" s="1"/>
  <c r="C36" i="10"/>
  <c r="C56" i="11" s="1"/>
  <c r="A36" i="10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Q35" i="10"/>
  <c r="C35" i="10"/>
  <c r="Q34" i="10"/>
  <c r="L34" i="10"/>
  <c r="J34" i="10"/>
  <c r="O34" i="10" s="1"/>
  <c r="I34" i="10"/>
  <c r="M34" i="10" s="1"/>
  <c r="C34" i="10"/>
  <c r="Q33" i="10"/>
  <c r="L33" i="10"/>
  <c r="J33" i="10"/>
  <c r="I33" i="10"/>
  <c r="M33" i="10" s="1"/>
  <c r="C33" i="10"/>
  <c r="C53" i="11" s="1"/>
  <c r="Q32" i="10"/>
  <c r="J32" i="10"/>
  <c r="L32" i="10"/>
  <c r="P32" i="10" s="1"/>
  <c r="C32" i="10"/>
  <c r="Q31" i="10"/>
  <c r="C31" i="10"/>
  <c r="C51" i="11" s="1"/>
  <c r="Q30" i="10"/>
  <c r="M30" i="10"/>
  <c r="I30" i="10"/>
  <c r="C30" i="10"/>
  <c r="Q29" i="10"/>
  <c r="C29" i="10"/>
  <c r="Q28" i="10"/>
  <c r="C28" i="10"/>
  <c r="Q27" i="10"/>
  <c r="Q47" i="11" s="1"/>
  <c r="C27" i="10"/>
  <c r="J26" i="10"/>
  <c r="L26" i="10"/>
  <c r="L25" i="10"/>
  <c r="H24" i="10"/>
  <c r="P23" i="10"/>
  <c r="O23" i="10"/>
  <c r="M23" i="10"/>
  <c r="L23" i="10"/>
  <c r="J23" i="10"/>
  <c r="I23" i="10"/>
  <c r="H23" i="10"/>
  <c r="E20" i="10"/>
  <c r="E13" i="10"/>
  <c r="Z10" i="10"/>
  <c r="V10" i="10"/>
  <c r="S10" i="10"/>
  <c r="O10" i="10"/>
  <c r="L10" i="10"/>
  <c r="H10" i="10"/>
  <c r="D10" i="10"/>
  <c r="A2" i="10"/>
  <c r="A3" i="10" s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L57" i="9"/>
  <c r="J57" i="9"/>
  <c r="I57" i="9"/>
  <c r="L55" i="9"/>
  <c r="P55" i="9" s="1"/>
  <c r="I55" i="9"/>
  <c r="M55" i="9" s="1"/>
  <c r="J55" i="9"/>
  <c r="O54" i="9"/>
  <c r="M54" i="9"/>
  <c r="P54" i="9"/>
  <c r="L52" i="9"/>
  <c r="L50" i="9"/>
  <c r="L49" i="9"/>
  <c r="J49" i="9"/>
  <c r="I49" i="9"/>
  <c r="M49" i="9" s="1"/>
  <c r="L48" i="9"/>
  <c r="P48" i="9" s="1"/>
  <c r="J48" i="9"/>
  <c r="J47" i="9"/>
  <c r="C47" i="9"/>
  <c r="L46" i="9"/>
  <c r="L45" i="9"/>
  <c r="J43" i="9"/>
  <c r="P41" i="9"/>
  <c r="L41" i="9"/>
  <c r="J41" i="9"/>
  <c r="L40" i="9"/>
  <c r="P40" i="9" s="1"/>
  <c r="J40" i="9"/>
  <c r="J39" i="9"/>
  <c r="L36" i="9"/>
  <c r="J36" i="9"/>
  <c r="I36" i="9"/>
  <c r="M36" i="9" s="1"/>
  <c r="C35" i="9"/>
  <c r="L34" i="9"/>
  <c r="L33" i="9"/>
  <c r="J33" i="9"/>
  <c r="P32" i="9"/>
  <c r="L32" i="9"/>
  <c r="J32" i="9"/>
  <c r="J31" i="9"/>
  <c r="P30" i="9"/>
  <c r="O30" i="9"/>
  <c r="L30" i="9"/>
  <c r="J30" i="9"/>
  <c r="I30" i="9"/>
  <c r="H29" i="9"/>
  <c r="P28" i="9"/>
  <c r="O28" i="9"/>
  <c r="M28" i="9"/>
  <c r="L28" i="9"/>
  <c r="J28" i="9"/>
  <c r="I28" i="9"/>
  <c r="H28" i="9"/>
  <c r="E25" i="9"/>
  <c r="E23" i="9"/>
  <c r="E22" i="9"/>
  <c r="E19" i="9"/>
  <c r="E18" i="9"/>
  <c r="E17" i="9"/>
  <c r="E15" i="9"/>
  <c r="E13" i="9"/>
  <c r="D12" i="9"/>
  <c r="Z10" i="9"/>
  <c r="V10" i="9"/>
  <c r="S10" i="9"/>
  <c r="O10" i="9"/>
  <c r="L10" i="9"/>
  <c r="H10" i="9"/>
  <c r="D10" i="9"/>
  <c r="A2" i="9"/>
  <c r="A3" i="9" s="1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O58" i="8"/>
  <c r="M58" i="8"/>
  <c r="L58" i="8"/>
  <c r="P58" i="8" s="1"/>
  <c r="J58" i="8"/>
  <c r="I58" i="8"/>
  <c r="C58" i="8"/>
  <c r="C58" i="9" s="1"/>
  <c r="L57" i="8"/>
  <c r="J57" i="8"/>
  <c r="I57" i="8"/>
  <c r="I19" i="8" s="1"/>
  <c r="I56" i="8"/>
  <c r="M56" i="8" s="1"/>
  <c r="L56" i="8"/>
  <c r="C55" i="8"/>
  <c r="C55" i="9" s="1"/>
  <c r="M54" i="8"/>
  <c r="P54" i="8"/>
  <c r="O54" i="8"/>
  <c r="C54" i="8"/>
  <c r="C54" i="9" s="1"/>
  <c r="L53" i="8"/>
  <c r="J53" i="8"/>
  <c r="L52" i="8"/>
  <c r="J52" i="8"/>
  <c r="M50" i="8"/>
  <c r="L50" i="8"/>
  <c r="J50" i="8"/>
  <c r="P50" i="8" s="1"/>
  <c r="I50" i="8"/>
  <c r="C50" i="8"/>
  <c r="C50" i="9" s="1"/>
  <c r="I49" i="8"/>
  <c r="M49" i="8" s="1"/>
  <c r="O48" i="8"/>
  <c r="L48" i="8"/>
  <c r="P48" i="8" s="1"/>
  <c r="J48" i="8"/>
  <c r="I48" i="8"/>
  <c r="M48" i="8" s="1"/>
  <c r="J47" i="8"/>
  <c r="C47" i="8"/>
  <c r="P46" i="8"/>
  <c r="O46" i="8"/>
  <c r="M46" i="8"/>
  <c r="L46" i="8"/>
  <c r="J46" i="8"/>
  <c r="I46" i="8"/>
  <c r="M45" i="8"/>
  <c r="L45" i="8"/>
  <c r="J45" i="8"/>
  <c r="O45" i="8" s="1"/>
  <c r="I45" i="8"/>
  <c r="J44" i="8"/>
  <c r="L44" i="8"/>
  <c r="P44" i="8" s="1"/>
  <c r="C44" i="8"/>
  <c r="C44" i="9" s="1"/>
  <c r="J43" i="8"/>
  <c r="C43" i="8"/>
  <c r="C43" i="9" s="1"/>
  <c r="L42" i="8"/>
  <c r="J42" i="8"/>
  <c r="I42" i="8"/>
  <c r="M42" i="8" s="1"/>
  <c r="C42" i="8"/>
  <c r="C42" i="9" s="1"/>
  <c r="L41" i="8"/>
  <c r="J41" i="8"/>
  <c r="L40" i="8"/>
  <c r="J40" i="8"/>
  <c r="O40" i="8" s="1"/>
  <c r="I40" i="8"/>
  <c r="M40" i="8" s="1"/>
  <c r="L38" i="8"/>
  <c r="P38" i="8" s="1"/>
  <c r="J38" i="8"/>
  <c r="I38" i="8"/>
  <c r="M38" i="8" s="1"/>
  <c r="C38" i="8"/>
  <c r="C38" i="9" s="1"/>
  <c r="L36" i="8"/>
  <c r="J36" i="8"/>
  <c r="I36" i="8"/>
  <c r="M36" i="8" s="1"/>
  <c r="J35" i="8"/>
  <c r="C35" i="8"/>
  <c r="P34" i="8"/>
  <c r="O34" i="8"/>
  <c r="M34" i="8"/>
  <c r="L34" i="8"/>
  <c r="J34" i="8"/>
  <c r="I34" i="8"/>
  <c r="L33" i="8"/>
  <c r="J32" i="8"/>
  <c r="O31" i="8"/>
  <c r="M31" i="8"/>
  <c r="J31" i="8"/>
  <c r="I31" i="8"/>
  <c r="L31" i="8"/>
  <c r="L30" i="8"/>
  <c r="J30" i="8"/>
  <c r="I30" i="8"/>
  <c r="H29" i="8"/>
  <c r="P28" i="8"/>
  <c r="O28" i="8"/>
  <c r="M28" i="8"/>
  <c r="L28" i="8"/>
  <c r="J28" i="8"/>
  <c r="I28" i="8"/>
  <c r="H28" i="8"/>
  <c r="E25" i="8"/>
  <c r="E24" i="8"/>
  <c r="E21" i="8"/>
  <c r="E20" i="8"/>
  <c r="P17" i="8"/>
  <c r="W16" i="8"/>
  <c r="E16" i="8"/>
  <c r="E15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E13" i="8"/>
  <c r="Z10" i="8"/>
  <c r="V10" i="8"/>
  <c r="S10" i="8"/>
  <c r="O10" i="8"/>
  <c r="L10" i="8"/>
  <c r="H10" i="8"/>
  <c r="D10" i="8"/>
  <c r="A2" i="8"/>
  <c r="A3" i="8" s="1"/>
  <c r="A4" i="8" s="1"/>
  <c r="A5" i="8" s="1"/>
  <c r="A6" i="8" s="1"/>
  <c r="A7" i="8" s="1"/>
  <c r="A8" i="8" s="1"/>
  <c r="A9" i="8" s="1"/>
  <c r="A10" i="8" s="1"/>
  <c r="A11" i="8" s="1"/>
  <c r="A12" i="8" s="1"/>
  <c r="A13" i="8" s="1"/>
  <c r="L61" i="7"/>
  <c r="J61" i="7"/>
  <c r="H61" i="7"/>
  <c r="L57" i="7"/>
  <c r="P57" i="7" s="1"/>
  <c r="J57" i="7"/>
  <c r="P22" i="7" s="1"/>
  <c r="I57" i="7"/>
  <c r="L56" i="7"/>
  <c r="J56" i="7"/>
  <c r="L55" i="7"/>
  <c r="P54" i="7"/>
  <c r="M54" i="7"/>
  <c r="C54" i="7"/>
  <c r="P53" i="7"/>
  <c r="O53" i="7"/>
  <c r="M53" i="7"/>
  <c r="L53" i="7"/>
  <c r="J53" i="7"/>
  <c r="I53" i="7"/>
  <c r="L52" i="7"/>
  <c r="J52" i="7"/>
  <c r="O52" i="7" s="1"/>
  <c r="I52" i="7"/>
  <c r="M52" i="7" s="1"/>
  <c r="L51" i="7"/>
  <c r="C51" i="7"/>
  <c r="P49" i="7"/>
  <c r="L49" i="7"/>
  <c r="J49" i="7"/>
  <c r="L48" i="7"/>
  <c r="P48" i="7" s="1"/>
  <c r="J48" i="7"/>
  <c r="O48" i="7" s="1"/>
  <c r="I48" i="7"/>
  <c r="M48" i="7" s="1"/>
  <c r="L47" i="7"/>
  <c r="J47" i="7"/>
  <c r="C46" i="7"/>
  <c r="P45" i="7"/>
  <c r="L45" i="7"/>
  <c r="J45" i="7"/>
  <c r="L44" i="7"/>
  <c r="L43" i="7"/>
  <c r="J43" i="7"/>
  <c r="I43" i="7"/>
  <c r="M43" i="7" s="1"/>
  <c r="C42" i="7"/>
  <c r="P41" i="7"/>
  <c r="L41" i="7"/>
  <c r="J41" i="7"/>
  <c r="I40" i="7"/>
  <c r="M40" i="7" s="1"/>
  <c r="L39" i="7"/>
  <c r="C39" i="7"/>
  <c r="L37" i="7"/>
  <c r="P37" i="7" s="1"/>
  <c r="J37" i="7"/>
  <c r="L36" i="7"/>
  <c r="L35" i="7"/>
  <c r="C34" i="7"/>
  <c r="L33" i="7"/>
  <c r="J33" i="7"/>
  <c r="L32" i="7"/>
  <c r="P32" i="7" s="1"/>
  <c r="J32" i="7"/>
  <c r="J30" i="7"/>
  <c r="H29" i="7"/>
  <c r="P28" i="7"/>
  <c r="O28" i="7"/>
  <c r="M28" i="7"/>
  <c r="L28" i="7"/>
  <c r="J28" i="7"/>
  <c r="I28" i="7"/>
  <c r="H28" i="7"/>
  <c r="W25" i="7"/>
  <c r="I25" i="7"/>
  <c r="E25" i="7"/>
  <c r="W24" i="7"/>
  <c r="P24" i="7"/>
  <c r="E24" i="7"/>
  <c r="D24" i="7"/>
  <c r="F24" i="7" s="1"/>
  <c r="W23" i="7"/>
  <c r="P23" i="7"/>
  <c r="I23" i="7"/>
  <c r="E23" i="7"/>
  <c r="W22" i="7"/>
  <c r="I22" i="7"/>
  <c r="E22" i="7"/>
  <c r="W21" i="7"/>
  <c r="P21" i="7"/>
  <c r="E21" i="7"/>
  <c r="W20" i="7"/>
  <c r="P20" i="7"/>
  <c r="I20" i="7"/>
  <c r="E20" i="7"/>
  <c r="W19" i="7"/>
  <c r="P19" i="7"/>
  <c r="E19" i="7"/>
  <c r="W18" i="7"/>
  <c r="P18" i="7"/>
  <c r="I18" i="7"/>
  <c r="E18" i="7"/>
  <c r="W17" i="7"/>
  <c r="P17" i="7"/>
  <c r="E17" i="7"/>
  <c r="W16" i="7"/>
  <c r="P16" i="7"/>
  <c r="I16" i="7"/>
  <c r="E16" i="7"/>
  <c r="W15" i="7"/>
  <c r="I15" i="7"/>
  <c r="E15" i="7"/>
  <c r="W14" i="7"/>
  <c r="P14" i="7"/>
  <c r="E14" i="7"/>
  <c r="W13" i="7"/>
  <c r="I13" i="7"/>
  <c r="E13" i="7"/>
  <c r="W12" i="7"/>
  <c r="P12" i="7"/>
  <c r="E12" i="7"/>
  <c r="Z10" i="7"/>
  <c r="V10" i="7"/>
  <c r="S10" i="7"/>
  <c r="O10" i="7"/>
  <c r="L10" i="7"/>
  <c r="H10" i="7"/>
  <c r="D10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2" i="7"/>
  <c r="A3" i="7" s="1"/>
  <c r="A4" i="7" s="1"/>
  <c r="A5" i="7" s="1"/>
  <c r="A6" i="7" s="1"/>
  <c r="A7" i="7" s="1"/>
  <c r="A8" i="7" s="1"/>
  <c r="H61" i="6"/>
  <c r="J57" i="6"/>
  <c r="P24" i="6" s="1"/>
  <c r="E20" i="6"/>
  <c r="C57" i="6"/>
  <c r="C57" i="7" s="1"/>
  <c r="M56" i="6"/>
  <c r="L56" i="6"/>
  <c r="J56" i="6"/>
  <c r="O56" i="6" s="1"/>
  <c r="I56" i="6"/>
  <c r="C56" i="6"/>
  <c r="C56" i="7" s="1"/>
  <c r="J55" i="6"/>
  <c r="L55" i="6"/>
  <c r="P55" i="6" s="1"/>
  <c r="C55" i="6"/>
  <c r="C55" i="7" s="1"/>
  <c r="O54" i="6"/>
  <c r="C54" i="6"/>
  <c r="P53" i="6"/>
  <c r="J53" i="6"/>
  <c r="L53" i="6"/>
  <c r="C53" i="6"/>
  <c r="C53" i="7" s="1"/>
  <c r="P52" i="6"/>
  <c r="O52" i="6"/>
  <c r="M52" i="6"/>
  <c r="L52" i="6"/>
  <c r="J52" i="6"/>
  <c r="I52" i="6"/>
  <c r="C52" i="6"/>
  <c r="C52" i="7" s="1"/>
  <c r="I51" i="6"/>
  <c r="M51" i="6" s="1"/>
  <c r="C51" i="6"/>
  <c r="J50" i="6"/>
  <c r="I50" i="6"/>
  <c r="M50" i="6" s="1"/>
  <c r="L50" i="6"/>
  <c r="C50" i="6"/>
  <c r="C50" i="7" s="1"/>
  <c r="J49" i="6"/>
  <c r="L49" i="6"/>
  <c r="P49" i="6" s="1"/>
  <c r="C49" i="6"/>
  <c r="C49" i="7" s="1"/>
  <c r="M48" i="6"/>
  <c r="L48" i="6"/>
  <c r="J48" i="6"/>
  <c r="O48" i="6" s="1"/>
  <c r="I48" i="6"/>
  <c r="C48" i="6"/>
  <c r="C48" i="7" s="1"/>
  <c r="J47" i="6"/>
  <c r="I47" i="6"/>
  <c r="M47" i="6" s="1"/>
  <c r="L47" i="6"/>
  <c r="C47" i="6"/>
  <c r="C47" i="7" s="1"/>
  <c r="J46" i="6"/>
  <c r="I46" i="6"/>
  <c r="M46" i="6" s="1"/>
  <c r="L46" i="6"/>
  <c r="C46" i="6"/>
  <c r="J45" i="6"/>
  <c r="L45" i="6"/>
  <c r="P45" i="6" s="1"/>
  <c r="C45" i="6"/>
  <c r="C45" i="7" s="1"/>
  <c r="P44" i="6"/>
  <c r="O44" i="6"/>
  <c r="M44" i="6"/>
  <c r="L44" i="6"/>
  <c r="J44" i="6"/>
  <c r="I44" i="6"/>
  <c r="C44" i="6"/>
  <c r="C44" i="7" s="1"/>
  <c r="C43" i="6"/>
  <c r="C43" i="7" s="1"/>
  <c r="J42" i="6"/>
  <c r="I42" i="6"/>
  <c r="M42" i="6" s="1"/>
  <c r="L42" i="6"/>
  <c r="C42" i="6"/>
  <c r="J41" i="6"/>
  <c r="L41" i="6"/>
  <c r="P41" i="6" s="1"/>
  <c r="C41" i="6"/>
  <c r="C41" i="7" s="1"/>
  <c r="P40" i="6"/>
  <c r="O40" i="6"/>
  <c r="M40" i="6"/>
  <c r="L40" i="6"/>
  <c r="J40" i="6"/>
  <c r="I40" i="6"/>
  <c r="C40" i="6"/>
  <c r="C40" i="7" s="1"/>
  <c r="L39" i="6"/>
  <c r="C39" i="6"/>
  <c r="J38" i="6"/>
  <c r="L38" i="6"/>
  <c r="C38" i="6"/>
  <c r="C38" i="7" s="1"/>
  <c r="J37" i="6"/>
  <c r="L37" i="6"/>
  <c r="P37" i="6" s="1"/>
  <c r="C37" i="6"/>
  <c r="C37" i="7" s="1"/>
  <c r="P36" i="6"/>
  <c r="O36" i="6"/>
  <c r="M36" i="6"/>
  <c r="L36" i="6"/>
  <c r="J36" i="6"/>
  <c r="I36" i="6"/>
  <c r="C36" i="6"/>
  <c r="C36" i="7" s="1"/>
  <c r="L35" i="6"/>
  <c r="C35" i="6"/>
  <c r="C35" i="7" s="1"/>
  <c r="L34" i="6"/>
  <c r="C34" i="6"/>
  <c r="J33" i="6"/>
  <c r="L33" i="6"/>
  <c r="P33" i="6" s="1"/>
  <c r="C33" i="6"/>
  <c r="C33" i="7" s="1"/>
  <c r="P32" i="6"/>
  <c r="L32" i="6"/>
  <c r="J32" i="6"/>
  <c r="I32" i="6"/>
  <c r="O32" i="6" s="1"/>
  <c r="D14" i="6"/>
  <c r="F14" i="6" s="1"/>
  <c r="C31" i="6"/>
  <c r="C31" i="7" s="1"/>
  <c r="C30" i="6"/>
  <c r="C30" i="7" s="1"/>
  <c r="H29" i="6"/>
  <c r="P28" i="6"/>
  <c r="O28" i="6"/>
  <c r="M28" i="6"/>
  <c r="L28" i="6"/>
  <c r="J28" i="6"/>
  <c r="I28" i="6"/>
  <c r="H28" i="6"/>
  <c r="P25" i="6"/>
  <c r="E24" i="6"/>
  <c r="P23" i="6"/>
  <c r="P22" i="6"/>
  <c r="E22" i="6"/>
  <c r="P21" i="6"/>
  <c r="E21" i="6"/>
  <c r="P19" i="6"/>
  <c r="E19" i="6"/>
  <c r="D19" i="6"/>
  <c r="F19" i="6" s="1"/>
  <c r="P18" i="6"/>
  <c r="E18" i="6"/>
  <c r="E17" i="6"/>
  <c r="P16" i="6"/>
  <c r="E16" i="6"/>
  <c r="D16" i="6"/>
  <c r="F16" i="6" s="1"/>
  <c r="E15" i="6"/>
  <c r="P14" i="6"/>
  <c r="E14" i="6"/>
  <c r="P13" i="6"/>
  <c r="E12" i="6"/>
  <c r="Z10" i="6"/>
  <c r="V10" i="6"/>
  <c r="S10" i="6"/>
  <c r="O10" i="6"/>
  <c r="L10" i="6"/>
  <c r="H10" i="6"/>
  <c r="D10" i="6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2" i="6"/>
  <c r="J62" i="5"/>
  <c r="I62" i="5"/>
  <c r="H62" i="5"/>
  <c r="C58" i="5"/>
  <c r="P57" i="5"/>
  <c r="O57" i="5"/>
  <c r="M57" i="5"/>
  <c r="J57" i="5"/>
  <c r="I57" i="5"/>
  <c r="L57" i="5"/>
  <c r="L56" i="5"/>
  <c r="J56" i="5"/>
  <c r="I56" i="5"/>
  <c r="M56" i="5" s="1"/>
  <c r="M55" i="5"/>
  <c r="L55" i="5"/>
  <c r="J55" i="5"/>
  <c r="I55" i="5"/>
  <c r="C55" i="5"/>
  <c r="P54" i="5"/>
  <c r="M54" i="5"/>
  <c r="C54" i="5"/>
  <c r="O53" i="5"/>
  <c r="M53" i="5"/>
  <c r="J53" i="5"/>
  <c r="I53" i="5"/>
  <c r="L53" i="5"/>
  <c r="P53" i="5" s="1"/>
  <c r="M52" i="5"/>
  <c r="L52" i="5"/>
  <c r="J52" i="5"/>
  <c r="O52" i="5" s="1"/>
  <c r="I52" i="5"/>
  <c r="Q51" i="5"/>
  <c r="L51" i="5"/>
  <c r="J51" i="5"/>
  <c r="I51" i="5"/>
  <c r="M51" i="5" s="1"/>
  <c r="C51" i="5"/>
  <c r="Q50" i="5"/>
  <c r="L50" i="5"/>
  <c r="J50" i="5"/>
  <c r="C50" i="5"/>
  <c r="Q49" i="5"/>
  <c r="C49" i="5"/>
  <c r="Q48" i="5"/>
  <c r="Q47" i="5"/>
  <c r="L47" i="5"/>
  <c r="Q46" i="5"/>
  <c r="Q45" i="5"/>
  <c r="I45" i="5"/>
  <c r="M45" i="5" s="1"/>
  <c r="C45" i="5"/>
  <c r="Q44" i="5"/>
  <c r="L44" i="5"/>
  <c r="J44" i="5"/>
  <c r="I44" i="5"/>
  <c r="M44" i="5" s="1"/>
  <c r="C44" i="5"/>
  <c r="Q43" i="5"/>
  <c r="I43" i="5"/>
  <c r="M43" i="5" s="1"/>
  <c r="C43" i="5"/>
  <c r="A43" i="5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Q42" i="5"/>
  <c r="C42" i="5"/>
  <c r="Q41" i="5"/>
  <c r="L41" i="5"/>
  <c r="Q40" i="5"/>
  <c r="Q39" i="5"/>
  <c r="L39" i="5"/>
  <c r="J39" i="5"/>
  <c r="O39" i="5" s="1"/>
  <c r="I39" i="5"/>
  <c r="M39" i="5" s="1"/>
  <c r="C39" i="5"/>
  <c r="Q38" i="5"/>
  <c r="J38" i="5"/>
  <c r="L38" i="5"/>
  <c r="P38" i="5" s="1"/>
  <c r="C38" i="5"/>
  <c r="Q37" i="5"/>
  <c r="C37" i="5"/>
  <c r="Q36" i="5"/>
  <c r="Q35" i="5"/>
  <c r="L35" i="5"/>
  <c r="Q34" i="5"/>
  <c r="Q33" i="5"/>
  <c r="L33" i="5"/>
  <c r="J33" i="5"/>
  <c r="Q32" i="5"/>
  <c r="J31" i="5"/>
  <c r="L31" i="5"/>
  <c r="C31" i="5"/>
  <c r="L30" i="5"/>
  <c r="J30" i="5"/>
  <c r="I30" i="5"/>
  <c r="C30" i="5"/>
  <c r="H29" i="5"/>
  <c r="P28" i="5"/>
  <c r="O28" i="5"/>
  <c r="M28" i="5"/>
  <c r="L28" i="5"/>
  <c r="J28" i="5"/>
  <c r="I28" i="5"/>
  <c r="H28" i="5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E15" i="5"/>
  <c r="Z10" i="5"/>
  <c r="V10" i="5"/>
  <c r="S10" i="5"/>
  <c r="O10" i="5"/>
  <c r="L10" i="5"/>
  <c r="H10" i="5"/>
  <c r="D10" i="5"/>
  <c r="A2" i="5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P58" i="4"/>
  <c r="O58" i="4"/>
  <c r="M58" i="4"/>
  <c r="L58" i="4"/>
  <c r="J58" i="4"/>
  <c r="I58" i="4"/>
  <c r="C57" i="4"/>
  <c r="I56" i="4"/>
  <c r="M56" i="4" s="1"/>
  <c r="C56" i="4"/>
  <c r="P55" i="4"/>
  <c r="O55" i="4"/>
  <c r="M55" i="4"/>
  <c r="L55" i="4"/>
  <c r="J55" i="4"/>
  <c r="I55" i="4"/>
  <c r="C55" i="4"/>
  <c r="P54" i="4"/>
  <c r="O54" i="4"/>
  <c r="C54" i="4"/>
  <c r="L53" i="4"/>
  <c r="C53" i="4"/>
  <c r="I52" i="4"/>
  <c r="M52" i="4" s="1"/>
  <c r="C52" i="4"/>
  <c r="C52" i="5" s="1"/>
  <c r="P51" i="4"/>
  <c r="O51" i="4"/>
  <c r="M51" i="4"/>
  <c r="L51" i="4"/>
  <c r="J51" i="4"/>
  <c r="I51" i="4"/>
  <c r="C51" i="4"/>
  <c r="C51" i="8" s="1"/>
  <c r="C51" i="9" s="1"/>
  <c r="L50" i="4"/>
  <c r="J50" i="4"/>
  <c r="I50" i="4"/>
  <c r="M50" i="4" s="1"/>
  <c r="C50" i="4"/>
  <c r="M49" i="4"/>
  <c r="L49" i="4"/>
  <c r="J49" i="4"/>
  <c r="I49" i="4"/>
  <c r="C49" i="4"/>
  <c r="C49" i="8" s="1"/>
  <c r="C49" i="9" s="1"/>
  <c r="C48" i="4"/>
  <c r="P47" i="4"/>
  <c r="O47" i="4"/>
  <c r="M47" i="4"/>
  <c r="L47" i="4"/>
  <c r="J47" i="4"/>
  <c r="I47" i="4"/>
  <c r="C47" i="4"/>
  <c r="C47" i="5" s="1"/>
  <c r="P46" i="4"/>
  <c r="O46" i="4"/>
  <c r="M46" i="4"/>
  <c r="L46" i="4"/>
  <c r="J46" i="4"/>
  <c r="I46" i="4"/>
  <c r="C46" i="4"/>
  <c r="C46" i="5" s="1"/>
  <c r="L45" i="4"/>
  <c r="C45" i="4"/>
  <c r="C45" i="8" s="1"/>
  <c r="C45" i="9" s="1"/>
  <c r="C44" i="4"/>
  <c r="P43" i="4"/>
  <c r="O43" i="4"/>
  <c r="M43" i="4"/>
  <c r="L43" i="4"/>
  <c r="J43" i="4"/>
  <c r="I43" i="4"/>
  <c r="C43" i="4"/>
  <c r="P42" i="4"/>
  <c r="L42" i="4"/>
  <c r="J42" i="4"/>
  <c r="I42" i="4"/>
  <c r="O42" i="4" s="1"/>
  <c r="C42" i="4"/>
  <c r="I41" i="4"/>
  <c r="M41" i="4" s="1"/>
  <c r="C41" i="4"/>
  <c r="I40" i="4"/>
  <c r="M40" i="4" s="1"/>
  <c r="C40" i="4"/>
  <c r="C40" i="5" s="1"/>
  <c r="P39" i="4"/>
  <c r="O39" i="4"/>
  <c r="M39" i="4"/>
  <c r="L39" i="4"/>
  <c r="J39" i="4"/>
  <c r="I39" i="4"/>
  <c r="C39" i="4"/>
  <c r="C39" i="8" s="1"/>
  <c r="C39" i="9" s="1"/>
  <c r="L38" i="4"/>
  <c r="J38" i="4"/>
  <c r="I38" i="4"/>
  <c r="M38" i="4" s="1"/>
  <c r="C38" i="4"/>
  <c r="M37" i="4"/>
  <c r="L37" i="4"/>
  <c r="J37" i="4"/>
  <c r="I37" i="4"/>
  <c r="C37" i="4"/>
  <c r="C37" i="8" s="1"/>
  <c r="C37" i="9" s="1"/>
  <c r="C36" i="4"/>
  <c r="P35" i="4"/>
  <c r="O35" i="4"/>
  <c r="M35" i="4"/>
  <c r="L35" i="4"/>
  <c r="J35" i="4"/>
  <c r="I35" i="4"/>
  <c r="C35" i="4"/>
  <c r="C35" i="5" s="1"/>
  <c r="P34" i="4"/>
  <c r="O34" i="4"/>
  <c r="M34" i="4"/>
  <c r="L34" i="4"/>
  <c r="J34" i="4"/>
  <c r="I34" i="4"/>
  <c r="C34" i="4"/>
  <c r="C34" i="5" s="1"/>
  <c r="C33" i="4"/>
  <c r="I32" i="4"/>
  <c r="M32" i="4" s="1"/>
  <c r="L31" i="4"/>
  <c r="J31" i="4"/>
  <c r="C31" i="4"/>
  <c r="C31" i="8" s="1"/>
  <c r="C31" i="9" s="1"/>
  <c r="L30" i="4"/>
  <c r="J30" i="4"/>
  <c r="C30" i="4"/>
  <c r="C30" i="8" s="1"/>
  <c r="C30" i="9" s="1"/>
  <c r="H29" i="4"/>
  <c r="P28" i="4"/>
  <c r="O28" i="4"/>
  <c r="M28" i="4"/>
  <c r="L28" i="4"/>
  <c r="J28" i="4"/>
  <c r="I28" i="4"/>
  <c r="H28" i="4"/>
  <c r="E25" i="4"/>
  <c r="E13" i="4"/>
  <c r="Z10" i="4"/>
  <c r="V10" i="4"/>
  <c r="S10" i="4"/>
  <c r="O10" i="4"/>
  <c r="L10" i="4"/>
  <c r="H10" i="4"/>
  <c r="D10" i="4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I57" i="3"/>
  <c r="C57" i="3"/>
  <c r="C55" i="12" s="1"/>
  <c r="L56" i="3"/>
  <c r="C56" i="3"/>
  <c r="C54" i="12" s="1"/>
  <c r="C55" i="3"/>
  <c r="C53" i="12" s="1"/>
  <c r="O54" i="3"/>
  <c r="M54" i="3"/>
  <c r="P54" i="3"/>
  <c r="C54" i="3"/>
  <c r="L53" i="3"/>
  <c r="J53" i="3"/>
  <c r="I53" i="3"/>
  <c r="M53" i="3" s="1"/>
  <c r="C53" i="3"/>
  <c r="C51" i="12" s="1"/>
  <c r="L52" i="3"/>
  <c r="P52" i="3" s="1"/>
  <c r="J52" i="3"/>
  <c r="I52" i="3"/>
  <c r="M52" i="3" s="1"/>
  <c r="C52" i="3"/>
  <c r="C50" i="12" s="1"/>
  <c r="C51" i="3"/>
  <c r="C49" i="12" s="1"/>
  <c r="P50" i="3"/>
  <c r="L50" i="3"/>
  <c r="J50" i="3"/>
  <c r="C50" i="3"/>
  <c r="C48" i="12" s="1"/>
  <c r="C49" i="3"/>
  <c r="C47" i="12" s="1"/>
  <c r="C78" i="16" s="1"/>
  <c r="L48" i="3"/>
  <c r="J48" i="3"/>
  <c r="I48" i="3"/>
  <c r="M48" i="3" s="1"/>
  <c r="C48" i="3"/>
  <c r="C47" i="3"/>
  <c r="C45" i="12" s="1"/>
  <c r="C44" i="15" s="1"/>
  <c r="L46" i="3"/>
  <c r="P46" i="3" s="1"/>
  <c r="J46" i="3"/>
  <c r="C46" i="3"/>
  <c r="C44" i="12" s="1"/>
  <c r="L45" i="3"/>
  <c r="J45" i="3"/>
  <c r="I45" i="3"/>
  <c r="M45" i="3" s="1"/>
  <c r="C45" i="3"/>
  <c r="C43" i="12" s="1"/>
  <c r="C43" i="14" s="1"/>
  <c r="L44" i="3"/>
  <c r="P44" i="3" s="1"/>
  <c r="J44" i="3"/>
  <c r="I44" i="3"/>
  <c r="M44" i="3" s="1"/>
  <c r="C44" i="3"/>
  <c r="C43" i="3"/>
  <c r="C41" i="12" s="1"/>
  <c r="P42" i="3"/>
  <c r="L42" i="3"/>
  <c r="J42" i="3"/>
  <c r="C42" i="3"/>
  <c r="C41" i="3"/>
  <c r="C39" i="12" s="1"/>
  <c r="C39" i="14" s="1"/>
  <c r="L40" i="3"/>
  <c r="J40" i="3"/>
  <c r="I40" i="3"/>
  <c r="M40" i="3" s="1"/>
  <c r="C40" i="3"/>
  <c r="C38" i="12" s="1"/>
  <c r="C39" i="3"/>
  <c r="C37" i="12" s="1"/>
  <c r="L38" i="3"/>
  <c r="P38" i="3" s="1"/>
  <c r="J38" i="3"/>
  <c r="C38" i="3"/>
  <c r="C36" i="12" s="1"/>
  <c r="L37" i="3"/>
  <c r="J37" i="3"/>
  <c r="I37" i="3"/>
  <c r="M37" i="3" s="1"/>
  <c r="C37" i="3"/>
  <c r="L36" i="3"/>
  <c r="P36" i="3" s="1"/>
  <c r="J36" i="3"/>
  <c r="I36" i="3"/>
  <c r="M36" i="3" s="1"/>
  <c r="C36" i="3"/>
  <c r="C34" i="12" s="1"/>
  <c r="C35" i="3"/>
  <c r="C33" i="12" s="1"/>
  <c r="A35" i="3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P34" i="3"/>
  <c r="L34" i="3"/>
  <c r="J34" i="3"/>
  <c r="C34" i="3"/>
  <c r="C33" i="3"/>
  <c r="C31" i="12" s="1"/>
  <c r="C30" i="15" s="1"/>
  <c r="L32" i="3"/>
  <c r="J32" i="3"/>
  <c r="P31" i="3"/>
  <c r="O31" i="3"/>
  <c r="M31" i="3"/>
  <c r="L31" i="3"/>
  <c r="J31" i="3"/>
  <c r="I31" i="3"/>
  <c r="C31" i="3"/>
  <c r="C29" i="12" s="1"/>
  <c r="M30" i="3"/>
  <c r="L30" i="3"/>
  <c r="J30" i="3"/>
  <c r="I30" i="3"/>
  <c r="C30" i="3"/>
  <c r="C28" i="12" s="1"/>
  <c r="H29" i="3"/>
  <c r="P28" i="3"/>
  <c r="O28" i="3"/>
  <c r="M28" i="3"/>
  <c r="L28" i="3"/>
  <c r="J28" i="3"/>
  <c r="I28" i="3"/>
  <c r="H28" i="3"/>
  <c r="I23" i="3"/>
  <c r="E22" i="3"/>
  <c r="I21" i="3"/>
  <c r="E20" i="3"/>
  <c r="I19" i="3"/>
  <c r="E18" i="3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I16" i="3"/>
  <c r="E16" i="3"/>
  <c r="E15" i="3"/>
  <c r="Z10" i="3"/>
  <c r="V10" i="3"/>
  <c r="S10" i="3"/>
  <c r="O10" i="3"/>
  <c r="L10" i="3"/>
  <c r="H10" i="3"/>
  <c r="D10" i="3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L61" i="2"/>
  <c r="H61" i="2"/>
  <c r="P57" i="2"/>
  <c r="O57" i="2"/>
  <c r="M57" i="2"/>
  <c r="L57" i="2"/>
  <c r="W25" i="2" s="1"/>
  <c r="J57" i="2"/>
  <c r="P23" i="2" s="1"/>
  <c r="I57" i="2"/>
  <c r="I61" i="2" s="1"/>
  <c r="E14" i="2"/>
  <c r="L56" i="2"/>
  <c r="M54" i="2"/>
  <c r="P54" i="2"/>
  <c r="O54" i="2"/>
  <c r="L53" i="2"/>
  <c r="J53" i="2"/>
  <c r="I53" i="2"/>
  <c r="M53" i="2" s="1"/>
  <c r="P51" i="2"/>
  <c r="O51" i="2"/>
  <c r="M51" i="2"/>
  <c r="L51" i="2"/>
  <c r="J51" i="2"/>
  <c r="I51" i="2"/>
  <c r="P48" i="2"/>
  <c r="O48" i="2"/>
  <c r="M48" i="2"/>
  <c r="L48" i="2"/>
  <c r="J48" i="2"/>
  <c r="I48" i="2"/>
  <c r="L47" i="2"/>
  <c r="L45" i="2"/>
  <c r="J45" i="2"/>
  <c r="O45" i="2" s="1"/>
  <c r="I45" i="2"/>
  <c r="M45" i="2" s="1"/>
  <c r="J44" i="2"/>
  <c r="M42" i="2"/>
  <c r="L42" i="2"/>
  <c r="J42" i="2"/>
  <c r="O42" i="2" s="1"/>
  <c r="I42" i="2"/>
  <c r="L41" i="2"/>
  <c r="J41" i="2"/>
  <c r="M39" i="2"/>
  <c r="L39" i="2"/>
  <c r="J39" i="2"/>
  <c r="O39" i="2" s="1"/>
  <c r="I39" i="2"/>
  <c r="P36" i="2"/>
  <c r="O36" i="2"/>
  <c r="M36" i="2"/>
  <c r="L36" i="2"/>
  <c r="J36" i="2"/>
  <c r="I36" i="2"/>
  <c r="L35" i="2"/>
  <c r="J35" i="2"/>
  <c r="I35" i="2"/>
  <c r="M35" i="2" s="1"/>
  <c r="L33" i="2"/>
  <c r="J33" i="2"/>
  <c r="I33" i="2"/>
  <c r="M33" i="2" s="1"/>
  <c r="M32" i="2"/>
  <c r="L32" i="2"/>
  <c r="J32" i="2"/>
  <c r="I32" i="2"/>
  <c r="L30" i="2"/>
  <c r="J30" i="2"/>
  <c r="O30" i="2" s="1"/>
  <c r="I30" i="2"/>
  <c r="M30" i="2" s="1"/>
  <c r="I25" i="2"/>
  <c r="E25" i="2"/>
  <c r="P24" i="2"/>
  <c r="I24" i="2"/>
  <c r="E24" i="2"/>
  <c r="I23" i="2"/>
  <c r="E23" i="2"/>
  <c r="W22" i="2"/>
  <c r="I22" i="2"/>
  <c r="E22" i="2"/>
  <c r="I21" i="2"/>
  <c r="E21" i="2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W20" i="2"/>
  <c r="I20" i="2"/>
  <c r="E20" i="2"/>
  <c r="I19" i="2"/>
  <c r="E19" i="2"/>
  <c r="A19" i="2"/>
  <c r="A20" i="2" s="1"/>
  <c r="W18" i="2"/>
  <c r="I18" i="2"/>
  <c r="E18" i="2"/>
  <c r="P17" i="2"/>
  <c r="E17" i="2"/>
  <c r="P16" i="2"/>
  <c r="I16" i="2"/>
  <c r="E16" i="2"/>
  <c r="I15" i="2"/>
  <c r="E15" i="2"/>
  <c r="P14" i="2"/>
  <c r="I14" i="2"/>
  <c r="A14" i="2"/>
  <c r="A15" i="2" s="1"/>
  <c r="A16" i="2" s="1"/>
  <c r="A17" i="2" s="1"/>
  <c r="A18" i="2" s="1"/>
  <c r="I13" i="2"/>
  <c r="E13" i="2"/>
  <c r="W12" i="2"/>
  <c r="P12" i="2"/>
  <c r="I12" i="2"/>
  <c r="E12" i="2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F106" i="1"/>
  <c r="E106" i="1"/>
  <c r="F105" i="1"/>
  <c r="E105" i="1"/>
  <c r="F104" i="1"/>
  <c r="E104" i="1"/>
  <c r="F102" i="1"/>
  <c r="E102" i="1"/>
  <c r="F101" i="1"/>
  <c r="E101" i="1"/>
  <c r="F100" i="1"/>
  <c r="E100" i="1"/>
  <c r="F98" i="1"/>
  <c r="F97" i="1"/>
  <c r="F95" i="1"/>
  <c r="E95" i="1"/>
  <c r="F94" i="1"/>
  <c r="E94" i="1"/>
  <c r="F93" i="1"/>
  <c r="E93" i="1"/>
  <c r="F91" i="1"/>
  <c r="F89" i="1"/>
  <c r="F87" i="1"/>
  <c r="F85" i="1"/>
  <c r="E85" i="1"/>
  <c r="F84" i="1"/>
  <c r="E84" i="1"/>
  <c r="F83" i="1"/>
  <c r="E83" i="1"/>
  <c r="F81" i="1"/>
  <c r="E81" i="1"/>
  <c r="F80" i="1"/>
  <c r="E80" i="1"/>
  <c r="F79" i="1"/>
  <c r="E79" i="1"/>
  <c r="F77" i="1"/>
  <c r="E77" i="1"/>
  <c r="F76" i="1"/>
  <c r="E76" i="1"/>
  <c r="F75" i="1"/>
  <c r="E75" i="1"/>
  <c r="F73" i="1"/>
  <c r="E73" i="1"/>
  <c r="F72" i="1"/>
  <c r="E72" i="1"/>
  <c r="F71" i="1"/>
  <c r="E71" i="1"/>
  <c r="F69" i="1"/>
  <c r="E69" i="1"/>
  <c r="F68" i="1"/>
  <c r="E68" i="1"/>
  <c r="F67" i="1"/>
  <c r="E67" i="1"/>
  <c r="F65" i="1"/>
  <c r="E65" i="1"/>
  <c r="F64" i="1"/>
  <c r="E64" i="1"/>
  <c r="F63" i="1"/>
  <c r="E63" i="1"/>
  <c r="F61" i="1"/>
  <c r="E61" i="1"/>
  <c r="F60" i="1"/>
  <c r="E60" i="1"/>
  <c r="F59" i="1"/>
  <c r="E59" i="1"/>
  <c r="F57" i="1"/>
  <c r="E57" i="1"/>
  <c r="F56" i="1"/>
  <c r="E56" i="1"/>
  <c r="F55" i="1"/>
  <c r="E55" i="1"/>
  <c r="F53" i="1"/>
  <c r="E53" i="1"/>
  <c r="F52" i="1"/>
  <c r="E52" i="1"/>
  <c r="F51" i="1"/>
  <c r="E51" i="1"/>
  <c r="F49" i="1"/>
  <c r="E49" i="1"/>
  <c r="F48" i="1"/>
  <c r="E48" i="1"/>
  <c r="F47" i="1"/>
  <c r="E47" i="1"/>
  <c r="F45" i="1"/>
  <c r="E45" i="1"/>
  <c r="F44" i="1"/>
  <c r="E44" i="1"/>
  <c r="F43" i="1"/>
  <c r="E43" i="1"/>
  <c r="F41" i="1"/>
  <c r="E41" i="1"/>
  <c r="F40" i="1"/>
  <c r="E40" i="1"/>
  <c r="F39" i="1"/>
  <c r="E39" i="1"/>
  <c r="F37" i="1"/>
  <c r="E37" i="1"/>
  <c r="F36" i="1"/>
  <c r="E36" i="1"/>
  <c r="F35" i="1"/>
  <c r="E35" i="1"/>
  <c r="F33" i="1"/>
  <c r="F32" i="1"/>
  <c r="F31" i="1"/>
  <c r="F30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F28" i="1"/>
  <c r="E28" i="1"/>
  <c r="F27" i="1"/>
  <c r="E27" i="1"/>
  <c r="F26" i="1"/>
  <c r="E26" i="1"/>
  <c r="F24" i="1"/>
  <c r="F22" i="1"/>
  <c r="F21" i="1"/>
  <c r="F19" i="1"/>
  <c r="F18" i="1"/>
  <c r="F16" i="1"/>
  <c r="F15" i="1"/>
  <c r="F13" i="1"/>
  <c r="F12" i="1"/>
  <c r="J11" i="1"/>
  <c r="N11" i="1" s="1"/>
  <c r="R11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R12" i="36" l="1"/>
  <c r="AD12" i="36" s="1"/>
  <c r="AP12" i="36" s="1"/>
  <c r="J66" i="11"/>
  <c r="K66" i="11"/>
  <c r="P66" i="11" s="1"/>
  <c r="I66" i="11"/>
  <c r="M66" i="11" s="1"/>
  <c r="L49" i="5"/>
  <c r="P49" i="5" s="1"/>
  <c r="J49" i="5"/>
  <c r="I49" i="5"/>
  <c r="M49" i="5" s="1"/>
  <c r="O45" i="3"/>
  <c r="P53" i="4"/>
  <c r="P36" i="7"/>
  <c r="F12" i="9"/>
  <c r="C79" i="24"/>
  <c r="C79" i="25"/>
  <c r="C62" i="22"/>
  <c r="C47" i="13"/>
  <c r="C42" i="20"/>
  <c r="C46" i="15"/>
  <c r="C61" i="18"/>
  <c r="C60" i="23"/>
  <c r="C44" i="21"/>
  <c r="C64" i="17"/>
  <c r="C47" i="19"/>
  <c r="P31" i="5"/>
  <c r="J49" i="3"/>
  <c r="O49" i="3" s="1"/>
  <c r="L49" i="3"/>
  <c r="I49" i="3"/>
  <c r="M49" i="3" s="1"/>
  <c r="D15" i="5"/>
  <c r="F15" i="5" s="1"/>
  <c r="P45" i="3"/>
  <c r="O21" i="4"/>
  <c r="O14" i="4"/>
  <c r="O30" i="4"/>
  <c r="O50" i="5"/>
  <c r="P52" i="5"/>
  <c r="L39" i="10"/>
  <c r="P39" i="10" s="1"/>
  <c r="J39" i="10"/>
  <c r="I39" i="10"/>
  <c r="M39" i="10" s="1"/>
  <c r="O50" i="20"/>
  <c r="J54" i="20"/>
  <c r="C65" i="25"/>
  <c r="C46" i="23"/>
  <c r="C65" i="24"/>
  <c r="C28" i="20"/>
  <c r="C33" i="19"/>
  <c r="C50" i="17"/>
  <c r="C64" i="16"/>
  <c r="C48" i="22"/>
  <c r="C47" i="18"/>
  <c r="C33" i="14"/>
  <c r="C32" i="15"/>
  <c r="C33" i="13"/>
  <c r="C30" i="21"/>
  <c r="V19" i="4"/>
  <c r="V17" i="4"/>
  <c r="V24" i="4"/>
  <c r="P30" i="4"/>
  <c r="V18" i="4"/>
  <c r="V14" i="4"/>
  <c r="V21" i="4"/>
  <c r="C48" i="8"/>
  <c r="C48" i="9" s="1"/>
  <c r="C48" i="5"/>
  <c r="O47" i="6"/>
  <c r="O50" i="6"/>
  <c r="P53" i="8"/>
  <c r="L48" i="4"/>
  <c r="J48" i="4"/>
  <c r="I48" i="4"/>
  <c r="M48" i="4" s="1"/>
  <c r="P39" i="6"/>
  <c r="L42" i="5"/>
  <c r="J42" i="5"/>
  <c r="O42" i="5" s="1"/>
  <c r="I42" i="5"/>
  <c r="M42" i="5" s="1"/>
  <c r="L54" i="10"/>
  <c r="C47" i="14"/>
  <c r="L62" i="9"/>
  <c r="P57" i="9"/>
  <c r="L47" i="14"/>
  <c r="J47" i="14"/>
  <c r="I47" i="14"/>
  <c r="M47" i="14" s="1"/>
  <c r="D17" i="3"/>
  <c r="F17" i="3" s="1"/>
  <c r="P40" i="8"/>
  <c r="P47" i="13"/>
  <c r="P42" i="2"/>
  <c r="L44" i="4"/>
  <c r="P44" i="4" s="1"/>
  <c r="J44" i="4"/>
  <c r="I44" i="4"/>
  <c r="M44" i="4" s="1"/>
  <c r="P35" i="7"/>
  <c r="I77" i="11"/>
  <c r="M45" i="11"/>
  <c r="L38" i="2"/>
  <c r="J38" i="2"/>
  <c r="I38" i="2"/>
  <c r="M38" i="2" s="1"/>
  <c r="H60" i="2"/>
  <c r="D15" i="2"/>
  <c r="F15" i="2" s="1"/>
  <c r="L35" i="3"/>
  <c r="P35" i="3" s="1"/>
  <c r="J35" i="3"/>
  <c r="I35" i="3"/>
  <c r="M35" i="3" s="1"/>
  <c r="O22" i="3"/>
  <c r="O21" i="3"/>
  <c r="O53" i="3"/>
  <c r="Q60" i="11"/>
  <c r="P53" i="3"/>
  <c r="L46" i="5"/>
  <c r="J46" i="5"/>
  <c r="I46" i="5"/>
  <c r="M46" i="5" s="1"/>
  <c r="I31" i="6"/>
  <c r="J43" i="6"/>
  <c r="O43" i="6" s="1"/>
  <c r="L43" i="6"/>
  <c r="P43" i="6" s="1"/>
  <c r="P48" i="6"/>
  <c r="M57" i="8"/>
  <c r="P33" i="9"/>
  <c r="P49" i="9"/>
  <c r="J44" i="12"/>
  <c r="I44" i="12"/>
  <c r="M44" i="12" s="1"/>
  <c r="L50" i="14"/>
  <c r="J50" i="14"/>
  <c r="I50" i="14"/>
  <c r="M50" i="14" s="1"/>
  <c r="L44" i="12"/>
  <c r="P44" i="12" s="1"/>
  <c r="L35" i="14"/>
  <c r="P35" i="14" s="1"/>
  <c r="J35" i="14"/>
  <c r="I35" i="14"/>
  <c r="M35" i="14" s="1"/>
  <c r="P54" i="14"/>
  <c r="P56" i="3"/>
  <c r="W19" i="8"/>
  <c r="W24" i="8"/>
  <c r="W12" i="8"/>
  <c r="W22" i="8"/>
  <c r="W14" i="8"/>
  <c r="W13" i="8"/>
  <c r="W18" i="8"/>
  <c r="L62" i="8"/>
  <c r="P57" i="8"/>
  <c r="W23" i="8"/>
  <c r="W17" i="8"/>
  <c r="W21" i="8"/>
  <c r="W15" i="8"/>
  <c r="W25" i="8"/>
  <c r="W20" i="8"/>
  <c r="L37" i="5"/>
  <c r="P37" i="5" s="1"/>
  <c r="J37" i="5"/>
  <c r="P35" i="2"/>
  <c r="D25" i="3"/>
  <c r="F25" i="3" s="1"/>
  <c r="H13" i="1" s="1"/>
  <c r="D13" i="3"/>
  <c r="J33" i="3"/>
  <c r="O33" i="3" s="1"/>
  <c r="D20" i="3"/>
  <c r="F20" i="3" s="1"/>
  <c r="D18" i="3"/>
  <c r="F18" i="3" s="1"/>
  <c r="L33" i="3"/>
  <c r="I33" i="3"/>
  <c r="M33" i="3" s="1"/>
  <c r="O40" i="3"/>
  <c r="I39" i="7"/>
  <c r="M39" i="7" s="1"/>
  <c r="J31" i="10"/>
  <c r="L31" i="10"/>
  <c r="P31" i="10" s="1"/>
  <c r="I31" i="10"/>
  <c r="M31" i="10" s="1"/>
  <c r="O50" i="10"/>
  <c r="P56" i="11"/>
  <c r="P31" i="12"/>
  <c r="P37" i="14"/>
  <c r="P41" i="22"/>
  <c r="J30" i="14"/>
  <c r="O30" i="14" s="1"/>
  <c r="I30" i="14"/>
  <c r="M30" i="14" s="1"/>
  <c r="L30" i="14"/>
  <c r="J38" i="9"/>
  <c r="I38" i="9"/>
  <c r="M38" i="9" s="1"/>
  <c r="D22" i="9"/>
  <c r="F22" i="9" s="1"/>
  <c r="D13" i="9"/>
  <c r="F13" i="9" s="1"/>
  <c r="D24" i="6"/>
  <c r="F24" i="6" s="1"/>
  <c r="D22" i="6"/>
  <c r="F22" i="6" s="1"/>
  <c r="D12" i="6"/>
  <c r="F12" i="6" s="1"/>
  <c r="H60" i="6"/>
  <c r="L31" i="6"/>
  <c r="D17" i="6"/>
  <c r="F17" i="6" s="1"/>
  <c r="L38" i="9"/>
  <c r="P38" i="9" s="1"/>
  <c r="D14" i="2"/>
  <c r="F14" i="2" s="1"/>
  <c r="P45" i="2"/>
  <c r="L49" i="2"/>
  <c r="J49" i="2"/>
  <c r="O49" i="2" s="1"/>
  <c r="I49" i="2"/>
  <c r="M49" i="2" s="1"/>
  <c r="P40" i="3"/>
  <c r="C81" i="24"/>
  <c r="C81" i="25"/>
  <c r="C62" i="23"/>
  <c r="C63" i="18"/>
  <c r="C49" i="19"/>
  <c r="C44" i="20"/>
  <c r="C64" i="22"/>
  <c r="C46" i="21"/>
  <c r="C48" i="15"/>
  <c r="C66" i="17"/>
  <c r="C80" i="16"/>
  <c r="C49" i="13"/>
  <c r="C49" i="14"/>
  <c r="C33" i="8"/>
  <c r="C33" i="9" s="1"/>
  <c r="C33" i="5"/>
  <c r="D21" i="6"/>
  <c r="F21" i="6" s="1"/>
  <c r="P54" i="6"/>
  <c r="J39" i="7"/>
  <c r="O39" i="7" s="1"/>
  <c r="O38" i="8"/>
  <c r="I28" i="10"/>
  <c r="M28" i="10" s="1"/>
  <c r="J46" i="10"/>
  <c r="I46" i="10"/>
  <c r="M46" i="10" s="1"/>
  <c r="L46" i="10"/>
  <c r="P46" i="10" s="1"/>
  <c r="P50" i="10"/>
  <c r="Q51" i="11"/>
  <c r="K62" i="11"/>
  <c r="J62" i="11"/>
  <c r="N62" i="11" s="1"/>
  <c r="I62" i="11"/>
  <c r="M62" i="11" s="1"/>
  <c r="I58" i="17"/>
  <c r="M58" i="17" s="1"/>
  <c r="J58" i="17"/>
  <c r="M58" i="23"/>
  <c r="J58" i="23"/>
  <c r="G77" i="22"/>
  <c r="K42" i="22"/>
  <c r="J42" i="22"/>
  <c r="I42" i="22"/>
  <c r="M64" i="23"/>
  <c r="J64" i="23"/>
  <c r="D23" i="3"/>
  <c r="F23" i="3" s="1"/>
  <c r="P56" i="7"/>
  <c r="J62" i="8"/>
  <c r="P18" i="8"/>
  <c r="P23" i="8"/>
  <c r="P21" i="8"/>
  <c r="P15" i="8"/>
  <c r="P20" i="8"/>
  <c r="P14" i="8"/>
  <c r="P25" i="8"/>
  <c r="P19" i="8"/>
  <c r="O57" i="8"/>
  <c r="P24" i="8"/>
  <c r="P12" i="8"/>
  <c r="P16" i="8"/>
  <c r="P22" i="8"/>
  <c r="P13" i="8"/>
  <c r="D23" i="9"/>
  <c r="F23" i="9" s="1"/>
  <c r="D24" i="2"/>
  <c r="F24" i="2" s="1"/>
  <c r="C36" i="8"/>
  <c r="C36" i="9" s="1"/>
  <c r="C36" i="5"/>
  <c r="P39" i="5"/>
  <c r="P41" i="8"/>
  <c r="O49" i="9"/>
  <c r="O45" i="10"/>
  <c r="P32" i="3"/>
  <c r="D19" i="2"/>
  <c r="F19" i="2" s="1"/>
  <c r="D25" i="7"/>
  <c r="F25" i="7" s="1"/>
  <c r="H19" i="1" s="1"/>
  <c r="D22" i="7"/>
  <c r="F22" i="7" s="1"/>
  <c r="D12" i="7"/>
  <c r="F12" i="7" s="1"/>
  <c r="D19" i="7"/>
  <c r="F19" i="7" s="1"/>
  <c r="J28" i="10"/>
  <c r="K57" i="11"/>
  <c r="P57" i="11" s="1"/>
  <c r="J57" i="11"/>
  <c r="N57" i="11" s="1"/>
  <c r="I57" i="11"/>
  <c r="M57" i="11" s="1"/>
  <c r="L35" i="13"/>
  <c r="P35" i="13" s="1"/>
  <c r="J35" i="13"/>
  <c r="O35" i="13" s="1"/>
  <c r="I35" i="13"/>
  <c r="M35" i="13" s="1"/>
  <c r="O25" i="21"/>
  <c r="G77" i="11"/>
  <c r="K45" i="11"/>
  <c r="J45" i="11"/>
  <c r="L54" i="20"/>
  <c r="P50" i="20"/>
  <c r="P50" i="5"/>
  <c r="O42" i="6"/>
  <c r="P34" i="12"/>
  <c r="P54" i="22"/>
  <c r="P56" i="2"/>
  <c r="O52" i="8"/>
  <c r="L53" i="9"/>
  <c r="J53" i="9"/>
  <c r="O53" i="9" s="1"/>
  <c r="I53" i="9"/>
  <c r="M53" i="9" s="1"/>
  <c r="I25" i="9"/>
  <c r="I14" i="9"/>
  <c r="I19" i="9"/>
  <c r="I13" i="9"/>
  <c r="M57" i="9"/>
  <c r="I62" i="9"/>
  <c r="G42" i="11"/>
  <c r="H27" i="12"/>
  <c r="L28" i="10"/>
  <c r="P28" i="10" s="1"/>
  <c r="C42" i="19"/>
  <c r="C39" i="21"/>
  <c r="C57" i="22"/>
  <c r="C73" i="16"/>
  <c r="C55" i="23"/>
  <c r="C42" i="14"/>
  <c r="C74" i="24"/>
  <c r="C59" i="17"/>
  <c r="C74" i="25"/>
  <c r="C41" i="15"/>
  <c r="C56" i="18"/>
  <c r="C37" i="20"/>
  <c r="C42" i="13"/>
  <c r="L37" i="13"/>
  <c r="J37" i="13"/>
  <c r="I37" i="13"/>
  <c r="M37" i="13" s="1"/>
  <c r="L34" i="15"/>
  <c r="J34" i="15"/>
  <c r="O34" i="15" s="1"/>
  <c r="I34" i="15"/>
  <c r="M34" i="15" s="1"/>
  <c r="P25" i="21"/>
  <c r="I17" i="8"/>
  <c r="I62" i="8"/>
  <c r="I22" i="8"/>
  <c r="I20" i="8"/>
  <c r="I12" i="8"/>
  <c r="I16" i="8"/>
  <c r="I21" i="8"/>
  <c r="I15" i="8"/>
  <c r="I23" i="8"/>
  <c r="I14" i="8"/>
  <c r="I24" i="8"/>
  <c r="I25" i="8"/>
  <c r="I18" i="8"/>
  <c r="I13" i="8"/>
  <c r="J54" i="11"/>
  <c r="K54" i="11"/>
  <c r="P54" i="11" s="1"/>
  <c r="I54" i="11"/>
  <c r="M54" i="11" s="1"/>
  <c r="L49" i="12"/>
  <c r="J49" i="12"/>
  <c r="O49" i="12" s="1"/>
  <c r="P42" i="14"/>
  <c r="F51" i="16"/>
  <c r="D15" i="3"/>
  <c r="F15" i="3" s="1"/>
  <c r="C56" i="22"/>
  <c r="C36" i="20"/>
  <c r="C54" i="23"/>
  <c r="C72" i="16"/>
  <c r="C73" i="25"/>
  <c r="C58" i="17"/>
  <c r="C38" i="21"/>
  <c r="C41" i="13"/>
  <c r="C55" i="18"/>
  <c r="C73" i="24"/>
  <c r="C40" i="15"/>
  <c r="C41" i="14"/>
  <c r="C41" i="19"/>
  <c r="I56" i="3"/>
  <c r="M56" i="3" s="1"/>
  <c r="L36" i="4"/>
  <c r="J36" i="4"/>
  <c r="O36" i="4" s="1"/>
  <c r="O38" i="4"/>
  <c r="O35" i="2"/>
  <c r="P39" i="2"/>
  <c r="L43" i="3"/>
  <c r="P43" i="3" s="1"/>
  <c r="J43" i="3"/>
  <c r="I43" i="3"/>
  <c r="M43" i="3" s="1"/>
  <c r="J56" i="3"/>
  <c r="I36" i="4"/>
  <c r="M36" i="4" s="1"/>
  <c r="P38" i="4"/>
  <c r="P33" i="5"/>
  <c r="I37" i="5"/>
  <c r="M37" i="5" s="1"/>
  <c r="J31" i="6"/>
  <c r="I43" i="6"/>
  <c r="M43" i="6" s="1"/>
  <c r="P39" i="7"/>
  <c r="P51" i="7"/>
  <c r="L46" i="2"/>
  <c r="J46" i="2"/>
  <c r="O46" i="2" s="1"/>
  <c r="I46" i="2"/>
  <c r="M46" i="2" s="1"/>
  <c r="L51" i="3"/>
  <c r="P51" i="3" s="1"/>
  <c r="J51" i="3"/>
  <c r="I51" i="3"/>
  <c r="M51" i="3" s="1"/>
  <c r="L33" i="4"/>
  <c r="P33" i="4" s="1"/>
  <c r="D25" i="4"/>
  <c r="F25" i="4" s="1"/>
  <c r="H15" i="1" s="1"/>
  <c r="D23" i="4"/>
  <c r="F23" i="4" s="1"/>
  <c r="D21" i="4"/>
  <c r="F21" i="4" s="1"/>
  <c r="H61" i="4"/>
  <c r="D13" i="4"/>
  <c r="F13" i="4" s="1"/>
  <c r="D15" i="4"/>
  <c r="J33" i="4"/>
  <c r="O33" i="4" s="1"/>
  <c r="E21" i="5"/>
  <c r="D16" i="5"/>
  <c r="D21" i="5"/>
  <c r="E14" i="5"/>
  <c r="E19" i="5"/>
  <c r="D14" i="5"/>
  <c r="F14" i="5" s="1"/>
  <c r="L58" i="5"/>
  <c r="E24" i="5"/>
  <c r="D19" i="5"/>
  <c r="F19" i="5" s="1"/>
  <c r="E12" i="5"/>
  <c r="J58" i="5"/>
  <c r="D24" i="5"/>
  <c r="E17" i="5"/>
  <c r="D12" i="5"/>
  <c r="D22" i="5"/>
  <c r="E23" i="5"/>
  <c r="E25" i="5"/>
  <c r="D23" i="5"/>
  <c r="F23" i="5" s="1"/>
  <c r="D25" i="5"/>
  <c r="F25" i="5" s="1"/>
  <c r="H16" i="1" s="1"/>
  <c r="E13" i="5"/>
  <c r="D13" i="5"/>
  <c r="F13" i="5" s="1"/>
  <c r="D20" i="5"/>
  <c r="F20" i="5" s="1"/>
  <c r="I58" i="5"/>
  <c r="E16" i="5"/>
  <c r="E18" i="5"/>
  <c r="E22" i="5"/>
  <c r="E20" i="5"/>
  <c r="D18" i="5"/>
  <c r="F18" i="5" s="1"/>
  <c r="O32" i="2"/>
  <c r="O37" i="3"/>
  <c r="I41" i="3"/>
  <c r="M41" i="3" s="1"/>
  <c r="J41" i="3"/>
  <c r="O41" i="3" s="1"/>
  <c r="L41" i="3"/>
  <c r="P41" i="3" s="1"/>
  <c r="O48" i="3"/>
  <c r="I33" i="4"/>
  <c r="M33" i="4" s="1"/>
  <c r="I35" i="7"/>
  <c r="M35" i="7" s="1"/>
  <c r="L55" i="8"/>
  <c r="I55" i="8"/>
  <c r="M55" i="8" s="1"/>
  <c r="J55" i="8"/>
  <c r="O55" i="8" s="1"/>
  <c r="D25" i="8"/>
  <c r="F25" i="8" s="1"/>
  <c r="H21" i="1" s="1"/>
  <c r="D15" i="8"/>
  <c r="F15" i="8" s="1"/>
  <c r="P32" i="2"/>
  <c r="P37" i="3"/>
  <c r="P48" i="3"/>
  <c r="D18" i="4"/>
  <c r="F18" i="4" s="1"/>
  <c r="O50" i="4"/>
  <c r="D17" i="5"/>
  <c r="F17" i="5" s="1"/>
  <c r="O56" i="5"/>
  <c r="P50" i="6"/>
  <c r="J35" i="7"/>
  <c r="O35" i="7" s="1"/>
  <c r="P52" i="8"/>
  <c r="P25" i="9"/>
  <c r="P13" i="9"/>
  <c r="J62" i="9"/>
  <c r="P18" i="9"/>
  <c r="P16" i="9"/>
  <c r="P19" i="9"/>
  <c r="O57" i="9"/>
  <c r="P20" i="9"/>
  <c r="J25" i="10"/>
  <c r="P25" i="10" s="1"/>
  <c r="H54" i="10"/>
  <c r="I25" i="10"/>
  <c r="W14" i="10"/>
  <c r="W12" i="10"/>
  <c r="W13" i="10"/>
  <c r="W18" i="10"/>
  <c r="W17" i="10"/>
  <c r="W20" i="10"/>
  <c r="L56" i="10"/>
  <c r="W15" i="10"/>
  <c r="W19" i="10"/>
  <c r="W16" i="10"/>
  <c r="M70" i="11"/>
  <c r="M52" i="12"/>
  <c r="O28" i="13"/>
  <c r="J57" i="13"/>
  <c r="J74" i="16"/>
  <c r="I74" i="16"/>
  <c r="M74" i="16" s="1"/>
  <c r="I76" i="11"/>
  <c r="M68" i="11"/>
  <c r="Q70" i="25"/>
  <c r="Q70" i="24"/>
  <c r="Q51" i="23"/>
  <c r="I51" i="23" s="1"/>
  <c r="Q35" i="21"/>
  <c r="Q53" i="22"/>
  <c r="Q33" i="20"/>
  <c r="Q38" i="19"/>
  <c r="Q55" i="17"/>
  <c r="Q69" i="16"/>
  <c r="Q37" i="15"/>
  <c r="Q38" i="14"/>
  <c r="Q38" i="13"/>
  <c r="P50" i="15"/>
  <c r="Q52" i="18"/>
  <c r="H60" i="3"/>
  <c r="P33" i="7"/>
  <c r="J48" i="11"/>
  <c r="K48" i="11"/>
  <c r="P48" i="11" s="1"/>
  <c r="I48" i="11"/>
  <c r="P52" i="11"/>
  <c r="L32" i="14"/>
  <c r="P32" i="14" s="1"/>
  <c r="J32" i="14"/>
  <c r="I32" i="14"/>
  <c r="M32" i="14" s="1"/>
  <c r="P15" i="14"/>
  <c r="P20" i="14"/>
  <c r="P13" i="14"/>
  <c r="P23" i="14"/>
  <c r="P17" i="14"/>
  <c r="P22" i="14"/>
  <c r="P16" i="14"/>
  <c r="P18" i="14"/>
  <c r="P14" i="14"/>
  <c r="P19" i="14"/>
  <c r="F37" i="16"/>
  <c r="D20" i="2"/>
  <c r="F20" i="2" s="1"/>
  <c r="P30" i="2"/>
  <c r="L34" i="2"/>
  <c r="J34" i="2"/>
  <c r="I34" i="2"/>
  <c r="M34" i="2" s="1"/>
  <c r="I44" i="2"/>
  <c r="M44" i="2" s="1"/>
  <c r="J47" i="2"/>
  <c r="O47" i="2" s="1"/>
  <c r="L50" i="2"/>
  <c r="J50" i="2"/>
  <c r="O50" i="2" s="1"/>
  <c r="I50" i="2"/>
  <c r="M50" i="2" s="1"/>
  <c r="P53" i="2"/>
  <c r="J56" i="2"/>
  <c r="O36" i="3"/>
  <c r="O44" i="3"/>
  <c r="O52" i="3"/>
  <c r="H61" i="3"/>
  <c r="E21" i="3"/>
  <c r="E19" i="3"/>
  <c r="E14" i="3"/>
  <c r="E24" i="3"/>
  <c r="E12" i="3"/>
  <c r="E17" i="3"/>
  <c r="E23" i="3"/>
  <c r="L57" i="3"/>
  <c r="E25" i="3"/>
  <c r="J57" i="3"/>
  <c r="E13" i="3"/>
  <c r="J41" i="4"/>
  <c r="O41" i="4" s="1"/>
  <c r="I45" i="4"/>
  <c r="M45" i="4" s="1"/>
  <c r="L32" i="5"/>
  <c r="J32" i="5"/>
  <c r="H61" i="5"/>
  <c r="I32" i="5"/>
  <c r="M32" i="5" s="1"/>
  <c r="J45" i="5"/>
  <c r="O45" i="5" s="1"/>
  <c r="I39" i="6"/>
  <c r="M39" i="6" s="1"/>
  <c r="P46" i="6"/>
  <c r="P43" i="7"/>
  <c r="L46" i="7"/>
  <c r="J46" i="7"/>
  <c r="I46" i="7"/>
  <c r="M46" i="7" s="1"/>
  <c r="J33" i="8"/>
  <c r="P33" i="8" s="1"/>
  <c r="L35" i="8"/>
  <c r="P35" i="8" s="1"/>
  <c r="I35" i="8"/>
  <c r="L47" i="8"/>
  <c r="P47" i="8" s="1"/>
  <c r="I47" i="8"/>
  <c r="M47" i="8" s="1"/>
  <c r="L47" i="9"/>
  <c r="P47" i="9" s="1"/>
  <c r="I52" i="9"/>
  <c r="M52" i="9" s="1"/>
  <c r="E14" i="10"/>
  <c r="O32" i="10"/>
  <c r="P34" i="10"/>
  <c r="L45" i="10"/>
  <c r="P45" i="10" s="1"/>
  <c r="I52" i="10"/>
  <c r="I64" i="11"/>
  <c r="M64" i="11" s="1"/>
  <c r="J64" i="11"/>
  <c r="N64" i="11" s="1"/>
  <c r="K64" i="11"/>
  <c r="X37" i="11"/>
  <c r="X34" i="11"/>
  <c r="X20" i="11"/>
  <c r="X17" i="11"/>
  <c r="X14" i="11"/>
  <c r="X38" i="11"/>
  <c r="X29" i="11"/>
  <c r="X25" i="11"/>
  <c r="X16" i="11"/>
  <c r="X18" i="11"/>
  <c r="X36" i="11"/>
  <c r="X32" i="11"/>
  <c r="X19" i="11"/>
  <c r="X15" i="11"/>
  <c r="L32" i="13"/>
  <c r="P32" i="13" s="1"/>
  <c r="J30" i="15"/>
  <c r="L30" i="15"/>
  <c r="P30" i="15" s="1"/>
  <c r="I30" i="15"/>
  <c r="M30" i="15" s="1"/>
  <c r="O53" i="2"/>
  <c r="H23" i="2"/>
  <c r="J23" i="2" s="1"/>
  <c r="I24" i="3"/>
  <c r="I12" i="3"/>
  <c r="I17" i="3"/>
  <c r="I22" i="3"/>
  <c r="I15" i="3"/>
  <c r="I20" i="3"/>
  <c r="I25" i="3"/>
  <c r="I13" i="3"/>
  <c r="M57" i="3"/>
  <c r="I14" i="3"/>
  <c r="L41" i="4"/>
  <c r="P41" i="4" s="1"/>
  <c r="J45" i="4"/>
  <c r="O45" i="4" s="1"/>
  <c r="C57" i="5"/>
  <c r="C57" i="8"/>
  <c r="C57" i="9" s="1"/>
  <c r="L40" i="5"/>
  <c r="J40" i="5"/>
  <c r="O40" i="5" s="1"/>
  <c r="I40" i="5"/>
  <c r="M40" i="5" s="1"/>
  <c r="L45" i="5"/>
  <c r="P45" i="5" s="1"/>
  <c r="L48" i="5"/>
  <c r="J48" i="5"/>
  <c r="I48" i="5"/>
  <c r="M48" i="5" s="1"/>
  <c r="J39" i="6"/>
  <c r="O39" i="6" s="1"/>
  <c r="D16" i="8"/>
  <c r="F16" i="8" s="1"/>
  <c r="O30" i="8"/>
  <c r="O47" i="8"/>
  <c r="L44" i="9"/>
  <c r="P44" i="9" s="1"/>
  <c r="J44" i="9"/>
  <c r="I44" i="9"/>
  <c r="M44" i="9" s="1"/>
  <c r="J52" i="9"/>
  <c r="Q49" i="11"/>
  <c r="J52" i="10"/>
  <c r="P47" i="12"/>
  <c r="L44" i="13"/>
  <c r="J44" i="13"/>
  <c r="O44" i="13" s="1"/>
  <c r="N85" i="16"/>
  <c r="K85" i="16"/>
  <c r="P85" i="16" s="1"/>
  <c r="L47" i="19"/>
  <c r="J47" i="19"/>
  <c r="O47" i="19" s="1"/>
  <c r="I47" i="19"/>
  <c r="M47" i="19" s="1"/>
  <c r="M52" i="23"/>
  <c r="J52" i="23"/>
  <c r="O33" i="2"/>
  <c r="I45" i="10"/>
  <c r="M45" i="10" s="1"/>
  <c r="N68" i="11"/>
  <c r="J76" i="11"/>
  <c r="I47" i="9"/>
  <c r="M47" i="9" s="1"/>
  <c r="L50" i="13"/>
  <c r="P50" i="13" s="1"/>
  <c r="J50" i="13"/>
  <c r="I50" i="13"/>
  <c r="M50" i="13" s="1"/>
  <c r="L37" i="2"/>
  <c r="J37" i="2"/>
  <c r="I37" i="2"/>
  <c r="M37" i="2" s="1"/>
  <c r="O41" i="2"/>
  <c r="L44" i="2"/>
  <c r="P44" i="2" s="1"/>
  <c r="I18" i="3"/>
  <c r="O51" i="5"/>
  <c r="I35" i="6"/>
  <c r="M35" i="6" s="1"/>
  <c r="O46" i="6"/>
  <c r="P56" i="6"/>
  <c r="I44" i="7"/>
  <c r="M44" i="7" s="1"/>
  <c r="P30" i="8"/>
  <c r="P45" i="8"/>
  <c r="O50" i="8"/>
  <c r="O36" i="9"/>
  <c r="P43" i="11"/>
  <c r="K75" i="11"/>
  <c r="K53" i="11"/>
  <c r="J53" i="11"/>
  <c r="N53" i="11" s="1"/>
  <c r="I53" i="11"/>
  <c r="M53" i="11" s="1"/>
  <c r="C62" i="25"/>
  <c r="C29" i="15"/>
  <c r="C30" i="14"/>
  <c r="C44" i="18"/>
  <c r="C43" i="23"/>
  <c r="C47" i="17"/>
  <c r="C61" i="16"/>
  <c r="C45" i="22"/>
  <c r="C25" i="20"/>
  <c r="C30" i="13"/>
  <c r="C30" i="19"/>
  <c r="C27" i="21"/>
  <c r="C62" i="24"/>
  <c r="Q33" i="21"/>
  <c r="Q53" i="17"/>
  <c r="Q50" i="18"/>
  <c r="Q49" i="23"/>
  <c r="I49" i="23" s="1"/>
  <c r="Q67" i="16"/>
  <c r="Q68" i="25"/>
  <c r="Q31" i="20"/>
  <c r="Q36" i="14"/>
  <c r="Q36" i="13"/>
  <c r="Q51" i="22"/>
  <c r="Q35" i="15"/>
  <c r="J40" i="12"/>
  <c r="I40" i="12"/>
  <c r="M40" i="12" s="1"/>
  <c r="L40" i="12"/>
  <c r="P40" i="12" s="1"/>
  <c r="I47" i="12"/>
  <c r="M47" i="12" s="1"/>
  <c r="I44" i="13"/>
  <c r="M44" i="13" s="1"/>
  <c r="P53" i="13"/>
  <c r="J57" i="14"/>
  <c r="K71" i="17"/>
  <c r="P71" i="17" s="1"/>
  <c r="N71" i="17"/>
  <c r="L56" i="4"/>
  <c r="J56" i="4"/>
  <c r="O56" i="4" s="1"/>
  <c r="I56" i="2"/>
  <c r="M56" i="2" s="1"/>
  <c r="J44" i="7"/>
  <c r="O44" i="7" s="1"/>
  <c r="K47" i="11"/>
  <c r="J47" i="11"/>
  <c r="N47" i="11" s="1"/>
  <c r="Q48" i="22"/>
  <c r="Q65" i="25"/>
  <c r="Q65" i="24"/>
  <c r="Q47" i="18"/>
  <c r="Q46" i="23"/>
  <c r="I46" i="23" s="1"/>
  <c r="Q30" i="21"/>
  <c r="Q50" i="17"/>
  <c r="Q33" i="13"/>
  <c r="Q33" i="19"/>
  <c r="Q28" i="20"/>
  <c r="Q33" i="14"/>
  <c r="Q32" i="15"/>
  <c r="Q64" i="16"/>
  <c r="L37" i="12"/>
  <c r="P37" i="12" s="1"/>
  <c r="J37" i="12"/>
  <c r="J47" i="12"/>
  <c r="P22" i="13"/>
  <c r="P15" i="13"/>
  <c r="P20" i="13"/>
  <c r="P16" i="13"/>
  <c r="P21" i="13"/>
  <c r="P14" i="13"/>
  <c r="P19" i="13"/>
  <c r="P17" i="13"/>
  <c r="P13" i="13"/>
  <c r="P23" i="13"/>
  <c r="L44" i="14"/>
  <c r="J44" i="14"/>
  <c r="O44" i="14" s="1"/>
  <c r="I44" i="14"/>
  <c r="M44" i="14" s="1"/>
  <c r="Q68" i="24"/>
  <c r="F35" i="29"/>
  <c r="F33" i="29"/>
  <c r="F18" i="29"/>
  <c r="F31" i="29"/>
  <c r="F15" i="29"/>
  <c r="P71" i="11"/>
  <c r="L42" i="12"/>
  <c r="P42" i="12" s="1"/>
  <c r="J42" i="12"/>
  <c r="I42" i="12"/>
  <c r="M42" i="12" s="1"/>
  <c r="J78" i="16"/>
  <c r="I78" i="16"/>
  <c r="M78" i="16" s="1"/>
  <c r="I42" i="21"/>
  <c r="M42" i="21" s="1"/>
  <c r="J42" i="21"/>
  <c r="O42" i="21" s="1"/>
  <c r="L42" i="21"/>
  <c r="P42" i="21" s="1"/>
  <c r="K62" i="22"/>
  <c r="J62" i="22"/>
  <c r="I62" i="22"/>
  <c r="M62" i="22" s="1"/>
  <c r="N65" i="35"/>
  <c r="J78" i="35"/>
  <c r="P50" i="4"/>
  <c r="L34" i="5"/>
  <c r="J34" i="5"/>
  <c r="I34" i="5"/>
  <c r="M34" i="5" s="1"/>
  <c r="P56" i="5"/>
  <c r="D23" i="8"/>
  <c r="D17" i="8"/>
  <c r="H61" i="8"/>
  <c r="D20" i="8"/>
  <c r="F20" i="8" s="1"/>
  <c r="C78" i="25"/>
  <c r="C78" i="24"/>
  <c r="C59" i="23"/>
  <c r="C46" i="19"/>
  <c r="C77" i="16"/>
  <c r="C41" i="20"/>
  <c r="C63" i="17"/>
  <c r="C61" i="22"/>
  <c r="C43" i="21"/>
  <c r="C46" i="14"/>
  <c r="C46" i="13"/>
  <c r="C60" i="18"/>
  <c r="C45" i="15"/>
  <c r="Q46" i="21"/>
  <c r="Q64" i="22"/>
  <c r="Q80" i="16"/>
  <c r="Q48" i="15"/>
  <c r="Q44" i="20"/>
  <c r="Q62" i="23"/>
  <c r="I62" i="23" s="1"/>
  <c r="Q81" i="24"/>
  <c r="Q49" i="14"/>
  <c r="Q49" i="13"/>
  <c r="Q63" i="18"/>
  <c r="Q66" i="17"/>
  <c r="Q49" i="19"/>
  <c r="Q81" i="25"/>
  <c r="J48" i="13"/>
  <c r="I48" i="13"/>
  <c r="M48" i="13" s="1"/>
  <c r="L48" i="13"/>
  <c r="P48" i="13" s="1"/>
  <c r="O54" i="15"/>
  <c r="J58" i="15"/>
  <c r="F14" i="29"/>
  <c r="P33" i="2"/>
  <c r="I47" i="2"/>
  <c r="M47" i="2" s="1"/>
  <c r="L43" i="5"/>
  <c r="J43" i="5"/>
  <c r="O43" i="5" s="1"/>
  <c r="L51" i="6"/>
  <c r="J51" i="6"/>
  <c r="O51" i="6" s="1"/>
  <c r="L40" i="7"/>
  <c r="P40" i="7" s="1"/>
  <c r="J40" i="7"/>
  <c r="O40" i="7" s="1"/>
  <c r="O43" i="7"/>
  <c r="P52" i="7"/>
  <c r="I33" i="8"/>
  <c r="M33" i="8" s="1"/>
  <c r="J35" i="9"/>
  <c r="L35" i="9"/>
  <c r="P35" i="9" s="1"/>
  <c r="I35" i="9"/>
  <c r="M35" i="9" s="1"/>
  <c r="L48" i="10"/>
  <c r="I48" i="10"/>
  <c r="M48" i="10" s="1"/>
  <c r="J48" i="10"/>
  <c r="O48" i="10" s="1"/>
  <c r="E16" i="10"/>
  <c r="E19" i="10"/>
  <c r="E18" i="10"/>
  <c r="E12" i="10"/>
  <c r="E17" i="10"/>
  <c r="H56" i="10"/>
  <c r="I56" i="11"/>
  <c r="M56" i="11" s="1"/>
  <c r="J56" i="11"/>
  <c r="N56" i="11" s="1"/>
  <c r="K59" i="11"/>
  <c r="J59" i="11"/>
  <c r="I59" i="11"/>
  <c r="M59" i="11" s="1"/>
  <c r="P68" i="11"/>
  <c r="K76" i="11"/>
  <c r="C29" i="21"/>
  <c r="C64" i="24"/>
  <c r="C45" i="23"/>
  <c r="C49" i="17"/>
  <c r="C27" i="20"/>
  <c r="C32" i="19"/>
  <c r="C46" i="18"/>
  <c r="C32" i="14"/>
  <c r="C32" i="13"/>
  <c r="C63" i="16"/>
  <c r="C31" i="15"/>
  <c r="C47" i="22"/>
  <c r="L46" i="12"/>
  <c r="P46" i="12" s="1"/>
  <c r="J46" i="12"/>
  <c r="I46" i="12"/>
  <c r="M46" i="12" s="1"/>
  <c r="L40" i="2"/>
  <c r="J40" i="2"/>
  <c r="I40" i="2"/>
  <c r="M40" i="2" s="1"/>
  <c r="C69" i="25"/>
  <c r="C51" i="18"/>
  <c r="C50" i="23"/>
  <c r="C54" i="17"/>
  <c r="C52" i="22"/>
  <c r="C37" i="14"/>
  <c r="C37" i="13"/>
  <c r="C68" i="16"/>
  <c r="C77" i="24"/>
  <c r="C40" i="20"/>
  <c r="C59" i="18"/>
  <c r="C60" i="22"/>
  <c r="C42" i="21"/>
  <c r="C58" i="23"/>
  <c r="C76" i="16"/>
  <c r="C45" i="14"/>
  <c r="C45" i="13"/>
  <c r="C62" i="17"/>
  <c r="C45" i="19"/>
  <c r="C77" i="25"/>
  <c r="I61" i="3"/>
  <c r="I53" i="4"/>
  <c r="M53" i="4" s="1"/>
  <c r="E19" i="4"/>
  <c r="E24" i="4"/>
  <c r="E12" i="4"/>
  <c r="H62" i="4"/>
  <c r="E17" i="4"/>
  <c r="E22" i="4"/>
  <c r="E15" i="4"/>
  <c r="E14" i="4"/>
  <c r="E16" i="4"/>
  <c r="E18" i="4"/>
  <c r="E20" i="4"/>
  <c r="L57" i="4"/>
  <c r="D12" i="2"/>
  <c r="F12" i="2" s="1"/>
  <c r="H20" i="2"/>
  <c r="J20" i="2" s="1"/>
  <c r="L20" i="2" s="1"/>
  <c r="M20" i="2" s="1"/>
  <c r="H25" i="2"/>
  <c r="J25" i="2" s="1"/>
  <c r="P41" i="2"/>
  <c r="D24" i="3"/>
  <c r="L39" i="3"/>
  <c r="J39" i="3"/>
  <c r="I39" i="3"/>
  <c r="M39" i="3" s="1"/>
  <c r="L47" i="3"/>
  <c r="J47" i="3"/>
  <c r="I47" i="3"/>
  <c r="M47" i="3" s="1"/>
  <c r="E21" i="4"/>
  <c r="J53" i="4"/>
  <c r="O53" i="4" s="1"/>
  <c r="I57" i="4"/>
  <c r="M30" i="5"/>
  <c r="I33" i="5"/>
  <c r="M33" i="5" s="1"/>
  <c r="J35" i="5"/>
  <c r="P35" i="5" s="1"/>
  <c r="I35" i="5"/>
  <c r="M35" i="5" s="1"/>
  <c r="P51" i="5"/>
  <c r="J35" i="6"/>
  <c r="P35" i="6" s="1"/>
  <c r="D23" i="7"/>
  <c r="F23" i="7" s="1"/>
  <c r="L31" i="7"/>
  <c r="D21" i="7"/>
  <c r="F21" i="7" s="1"/>
  <c r="D17" i="7"/>
  <c r="F17" i="7" s="1"/>
  <c r="D14" i="7"/>
  <c r="F14" i="7" s="1"/>
  <c r="D20" i="7"/>
  <c r="F20" i="7" s="1"/>
  <c r="D15" i="7"/>
  <c r="F15" i="7" s="1"/>
  <c r="J31" i="7"/>
  <c r="I31" i="7"/>
  <c r="P47" i="7"/>
  <c r="L50" i="7"/>
  <c r="J50" i="7"/>
  <c r="O50" i="7" s="1"/>
  <c r="I50" i="7"/>
  <c r="M50" i="7" s="1"/>
  <c r="D19" i="8"/>
  <c r="P31" i="8"/>
  <c r="D24" i="9"/>
  <c r="F24" i="9" s="1"/>
  <c r="D17" i="9"/>
  <c r="F17" i="9" s="1"/>
  <c r="D14" i="9"/>
  <c r="F14" i="9" s="1"/>
  <c r="D25" i="9"/>
  <c r="F25" i="9" s="1"/>
  <c r="H22" i="1" s="1"/>
  <c r="D18" i="9"/>
  <c r="F18" i="9" s="1"/>
  <c r="P36" i="9"/>
  <c r="I45" i="9"/>
  <c r="M45" i="9" s="1"/>
  <c r="D17" i="2"/>
  <c r="F17" i="2" s="1"/>
  <c r="D22" i="2"/>
  <c r="F22" i="2" s="1"/>
  <c r="E23" i="4"/>
  <c r="L32" i="4"/>
  <c r="J32" i="4"/>
  <c r="O32" i="4" s="1"/>
  <c r="D16" i="4"/>
  <c r="F16" i="4" s="1"/>
  <c r="D20" i="4"/>
  <c r="F20" i="4" s="1"/>
  <c r="J57" i="4"/>
  <c r="O30" i="5"/>
  <c r="P47" i="6"/>
  <c r="M54" i="6"/>
  <c r="H60" i="7"/>
  <c r="O36" i="8"/>
  <c r="L43" i="8"/>
  <c r="P43" i="8" s="1"/>
  <c r="I43" i="8"/>
  <c r="I33" i="9"/>
  <c r="M33" i="9" s="1"/>
  <c r="J45" i="9"/>
  <c r="O45" i="9" s="1"/>
  <c r="E15" i="10"/>
  <c r="L38" i="10"/>
  <c r="J38" i="10"/>
  <c r="I38" i="10"/>
  <c r="M38" i="10" s="1"/>
  <c r="Q63" i="11"/>
  <c r="I37" i="12"/>
  <c r="M37" i="12" s="1"/>
  <c r="O54" i="12"/>
  <c r="P28" i="13"/>
  <c r="L57" i="13"/>
  <c r="L46" i="13"/>
  <c r="I46" i="13"/>
  <c r="M46" i="13" s="1"/>
  <c r="J46" i="13"/>
  <c r="O46" i="13" s="1"/>
  <c r="L54" i="13"/>
  <c r="J54" i="13"/>
  <c r="O54" i="13" s="1"/>
  <c r="P21" i="14"/>
  <c r="Q36" i="19"/>
  <c r="O43" i="20"/>
  <c r="I27" i="23"/>
  <c r="I16" i="23"/>
  <c r="I28" i="23"/>
  <c r="I19" i="23"/>
  <c r="I32" i="23"/>
  <c r="I21" i="23"/>
  <c r="I17" i="23"/>
  <c r="I26" i="23"/>
  <c r="I18" i="23"/>
  <c r="I14" i="23"/>
  <c r="I20" i="23"/>
  <c r="I25" i="23"/>
  <c r="I33" i="23"/>
  <c r="I29" i="23"/>
  <c r="I15" i="23"/>
  <c r="I31" i="23"/>
  <c r="C69" i="24"/>
  <c r="O13" i="3"/>
  <c r="O18" i="3"/>
  <c r="O23" i="3"/>
  <c r="J41" i="5"/>
  <c r="I41" i="5"/>
  <c r="M41" i="5" s="1"/>
  <c r="N82" i="16"/>
  <c r="M82" i="16"/>
  <c r="I61" i="21"/>
  <c r="M53" i="21"/>
  <c r="J67" i="23"/>
  <c r="Q70" i="31"/>
  <c r="Q58" i="29"/>
  <c r="Q60" i="28"/>
  <c r="Q64" i="26"/>
  <c r="Q64" i="27"/>
  <c r="Q70" i="30"/>
  <c r="L30" i="19"/>
  <c r="J30" i="19"/>
  <c r="I30" i="19"/>
  <c r="M30" i="19" s="1"/>
  <c r="L37" i="19"/>
  <c r="J37" i="19"/>
  <c r="I37" i="19"/>
  <c r="M37" i="19" s="1"/>
  <c r="P19" i="2"/>
  <c r="L52" i="2"/>
  <c r="P52" i="2" s="1"/>
  <c r="J52" i="2"/>
  <c r="I52" i="2"/>
  <c r="M52" i="2" s="1"/>
  <c r="L42" i="7"/>
  <c r="J42" i="7"/>
  <c r="I42" i="7"/>
  <c r="M42" i="7" s="1"/>
  <c r="P36" i="8"/>
  <c r="J42" i="9"/>
  <c r="O42" i="9" s="1"/>
  <c r="I42" i="9"/>
  <c r="M42" i="9" s="1"/>
  <c r="Q61" i="11"/>
  <c r="K65" i="11"/>
  <c r="J65" i="11"/>
  <c r="I65" i="11"/>
  <c r="M65" i="11" s="1"/>
  <c r="C71" i="16"/>
  <c r="C40" i="19"/>
  <c r="C72" i="25"/>
  <c r="C55" i="22"/>
  <c r="C37" i="21"/>
  <c r="C35" i="20"/>
  <c r="C57" i="17"/>
  <c r="C72" i="24"/>
  <c r="W23" i="13"/>
  <c r="W16" i="13"/>
  <c r="W21" i="13"/>
  <c r="W20" i="13"/>
  <c r="W14" i="13"/>
  <c r="W19" i="13"/>
  <c r="W15" i="13"/>
  <c r="P54" i="15"/>
  <c r="J56" i="18"/>
  <c r="I56" i="18"/>
  <c r="M56" i="18" s="1"/>
  <c r="Q34" i="18"/>
  <c r="Q31" i="18"/>
  <c r="Q20" i="18"/>
  <c r="Q17" i="18"/>
  <c r="Q36" i="18"/>
  <c r="Q25" i="18"/>
  <c r="Q23" i="18"/>
  <c r="Q16" i="18"/>
  <c r="Q18" i="18"/>
  <c r="Q33" i="18"/>
  <c r="Q32" i="18"/>
  <c r="Q19" i="18"/>
  <c r="Q27" i="18"/>
  <c r="Q15" i="18"/>
  <c r="P46" i="20"/>
  <c r="P21" i="2"/>
  <c r="V12" i="3"/>
  <c r="L55" i="3"/>
  <c r="P55" i="3" s="1"/>
  <c r="J55" i="3"/>
  <c r="I55" i="3"/>
  <c r="M55" i="3" s="1"/>
  <c r="L40" i="4"/>
  <c r="J40" i="4"/>
  <c r="O40" i="4" s="1"/>
  <c r="L52" i="4"/>
  <c r="J52" i="4"/>
  <c r="O52" i="4" s="1"/>
  <c r="I38" i="5"/>
  <c r="M38" i="5" s="1"/>
  <c r="J47" i="5"/>
  <c r="P47" i="5" s="1"/>
  <c r="I47" i="5"/>
  <c r="M47" i="5" s="1"/>
  <c r="I55" i="6"/>
  <c r="I36" i="7"/>
  <c r="M36" i="7" s="1"/>
  <c r="I51" i="7"/>
  <c r="M51" i="7" s="1"/>
  <c r="L49" i="8"/>
  <c r="J49" i="8"/>
  <c r="O49" i="8" s="1"/>
  <c r="C52" i="8"/>
  <c r="C52" i="9" s="1"/>
  <c r="L31" i="9"/>
  <c r="I31" i="9"/>
  <c r="D20" i="9"/>
  <c r="F20" i="9" s="1"/>
  <c r="L42" i="9"/>
  <c r="P42" i="9" s="1"/>
  <c r="O48" i="9"/>
  <c r="H61" i="9"/>
  <c r="L37" i="10"/>
  <c r="P37" i="10" s="1"/>
  <c r="I30" i="12"/>
  <c r="M30" i="12" s="1"/>
  <c r="C32" i="21"/>
  <c r="C35" i="19"/>
  <c r="C48" i="23"/>
  <c r="C35" i="13"/>
  <c r="C67" i="24"/>
  <c r="C67" i="25"/>
  <c r="C49" i="18"/>
  <c r="C35" i="14"/>
  <c r="C66" i="16"/>
  <c r="C50" i="22"/>
  <c r="L59" i="14"/>
  <c r="P55" i="14"/>
  <c r="F16" i="16"/>
  <c r="K44" i="17"/>
  <c r="J76" i="17"/>
  <c r="X26" i="18"/>
  <c r="X17" i="18"/>
  <c r="X20" i="18"/>
  <c r="X15" i="18"/>
  <c r="X35" i="18"/>
  <c r="X31" i="18"/>
  <c r="X18" i="18"/>
  <c r="X28" i="18"/>
  <c r="X16" i="18"/>
  <c r="X27" i="18"/>
  <c r="X33" i="18"/>
  <c r="X23" i="18"/>
  <c r="X34" i="18"/>
  <c r="X32" i="18"/>
  <c r="X36" i="18"/>
  <c r="X25" i="18"/>
  <c r="X19" i="18"/>
  <c r="C30" i="20"/>
  <c r="I43" i="23"/>
  <c r="E13" i="23"/>
  <c r="E33" i="23"/>
  <c r="E17" i="23"/>
  <c r="E14" i="23"/>
  <c r="E28" i="23"/>
  <c r="E32" i="23"/>
  <c r="E21" i="23"/>
  <c r="E25" i="23"/>
  <c r="E31" i="23"/>
  <c r="E26" i="23"/>
  <c r="E27" i="23"/>
  <c r="E30" i="23"/>
  <c r="E18" i="23"/>
  <c r="E16" i="23"/>
  <c r="E20" i="23"/>
  <c r="E29" i="23"/>
  <c r="E19" i="23"/>
  <c r="E15" i="23"/>
  <c r="G93" i="24"/>
  <c r="K59" i="24"/>
  <c r="J59" i="24"/>
  <c r="I59" i="24"/>
  <c r="P56" i="25"/>
  <c r="K90" i="25"/>
  <c r="C47" i="21"/>
  <c r="C67" i="17"/>
  <c r="C65" i="22"/>
  <c r="C63" i="23"/>
  <c r="C81" i="16"/>
  <c r="C82" i="24"/>
  <c r="C64" i="18"/>
  <c r="C45" i="20"/>
  <c r="C50" i="19"/>
  <c r="C82" i="25"/>
  <c r="O38" i="5"/>
  <c r="L62" i="5"/>
  <c r="P34" i="6"/>
  <c r="J36" i="7"/>
  <c r="O36" i="7" s="1"/>
  <c r="L38" i="7"/>
  <c r="J38" i="7"/>
  <c r="I38" i="7"/>
  <c r="M38" i="7" s="1"/>
  <c r="J51" i="7"/>
  <c r="O51" i="7" s="1"/>
  <c r="I61" i="7"/>
  <c r="I21" i="7"/>
  <c r="I14" i="7"/>
  <c r="M57" i="7"/>
  <c r="I19" i="7"/>
  <c r="I24" i="7"/>
  <c r="I12" i="7"/>
  <c r="I17" i="7"/>
  <c r="L37" i="9"/>
  <c r="J37" i="9"/>
  <c r="O37" i="9" s="1"/>
  <c r="I37" i="9"/>
  <c r="M37" i="9" s="1"/>
  <c r="L56" i="9"/>
  <c r="J56" i="9"/>
  <c r="L27" i="10"/>
  <c r="L44" i="10"/>
  <c r="J44" i="10"/>
  <c r="O44" i="10" s="1"/>
  <c r="J30" i="12"/>
  <c r="O30" i="12" s="1"/>
  <c r="P35" i="12"/>
  <c r="K79" i="25"/>
  <c r="J79" i="25"/>
  <c r="N79" i="25" s="1"/>
  <c r="I79" i="25"/>
  <c r="M79" i="25" s="1"/>
  <c r="O52" i="13"/>
  <c r="P52" i="13"/>
  <c r="P41" i="15"/>
  <c r="C49" i="15"/>
  <c r="F47" i="16"/>
  <c r="K89" i="16"/>
  <c r="P57" i="16"/>
  <c r="I63" i="17"/>
  <c r="M63" i="17" s="1"/>
  <c r="J63" i="17"/>
  <c r="I46" i="22"/>
  <c r="M46" i="22" s="1"/>
  <c r="K46" i="22"/>
  <c r="J46" i="22"/>
  <c r="N46" i="22" s="1"/>
  <c r="O39" i="23"/>
  <c r="M71" i="23"/>
  <c r="J71" i="23"/>
  <c r="I74" i="25"/>
  <c r="M74" i="25" s="1"/>
  <c r="K74" i="25"/>
  <c r="J74" i="25"/>
  <c r="N74" i="25" s="1"/>
  <c r="C68" i="25"/>
  <c r="C49" i="23"/>
  <c r="C68" i="24"/>
  <c r="C51" i="22"/>
  <c r="C53" i="17"/>
  <c r="C31" i="20"/>
  <c r="C36" i="19"/>
  <c r="C50" i="18"/>
  <c r="C36" i="14"/>
  <c r="C33" i="21"/>
  <c r="C35" i="15"/>
  <c r="C36" i="13"/>
  <c r="P31" i="4"/>
  <c r="O37" i="4"/>
  <c r="M42" i="4"/>
  <c r="W18" i="5"/>
  <c r="P30" i="5"/>
  <c r="O44" i="5"/>
  <c r="I50" i="5"/>
  <c r="M50" i="5" s="1"/>
  <c r="I24" i="5"/>
  <c r="D15" i="6"/>
  <c r="F15" i="6" s="1"/>
  <c r="D20" i="6"/>
  <c r="F20" i="6" s="1"/>
  <c r="D25" i="6"/>
  <c r="F25" i="6" s="1"/>
  <c r="H18" i="1" s="1"/>
  <c r="D13" i="6"/>
  <c r="F13" i="6" s="1"/>
  <c r="L30" i="6"/>
  <c r="D18" i="6"/>
  <c r="F18" i="6" s="1"/>
  <c r="J30" i="6"/>
  <c r="D23" i="6"/>
  <c r="F23" i="6" s="1"/>
  <c r="M32" i="6"/>
  <c r="I34" i="6"/>
  <c r="M34" i="6" s="1"/>
  <c r="P38" i="6"/>
  <c r="I32" i="7"/>
  <c r="I47" i="7"/>
  <c r="M47" i="7" s="1"/>
  <c r="I55" i="7"/>
  <c r="M55" i="7" s="1"/>
  <c r="L37" i="8"/>
  <c r="J37" i="8"/>
  <c r="C40" i="8"/>
  <c r="C40" i="9" s="1"/>
  <c r="O42" i="8"/>
  <c r="I52" i="8"/>
  <c r="M52" i="8" s="1"/>
  <c r="O31" i="9"/>
  <c r="I40" i="9"/>
  <c r="I43" i="9"/>
  <c r="M43" i="9" s="1"/>
  <c r="I56" i="9"/>
  <c r="M56" i="9" s="1"/>
  <c r="I27" i="10"/>
  <c r="M27" i="10" s="1"/>
  <c r="O33" i="10"/>
  <c r="O37" i="10"/>
  <c r="I44" i="10"/>
  <c r="M44" i="10" s="1"/>
  <c r="P28" i="12"/>
  <c r="I35" i="12"/>
  <c r="M35" i="12" s="1"/>
  <c r="J48" i="12"/>
  <c r="I48" i="12"/>
  <c r="M48" i="12" s="1"/>
  <c r="L48" i="12"/>
  <c r="P48" i="12" s="1"/>
  <c r="J30" i="13"/>
  <c r="I30" i="13"/>
  <c r="M30" i="13" s="1"/>
  <c r="J37" i="14"/>
  <c r="I37" i="14"/>
  <c r="M37" i="14" s="1"/>
  <c r="J48" i="14"/>
  <c r="I48" i="14"/>
  <c r="M48" i="14" s="1"/>
  <c r="L48" i="14"/>
  <c r="P48" i="14" s="1"/>
  <c r="O28" i="15"/>
  <c r="P52" i="15"/>
  <c r="Q35" i="18"/>
  <c r="O51" i="19"/>
  <c r="L39" i="23"/>
  <c r="D13" i="2"/>
  <c r="F13" i="2" s="1"/>
  <c r="L31" i="2"/>
  <c r="D23" i="2"/>
  <c r="F23" i="2" s="1"/>
  <c r="D18" i="2"/>
  <c r="F18" i="2" s="1"/>
  <c r="J31" i="2"/>
  <c r="D16" i="2"/>
  <c r="F16" i="2" s="1"/>
  <c r="I31" i="2"/>
  <c r="L43" i="2"/>
  <c r="J43" i="2"/>
  <c r="I43" i="2"/>
  <c r="M43" i="2" s="1"/>
  <c r="P22" i="2"/>
  <c r="P15" i="2"/>
  <c r="P20" i="2"/>
  <c r="P25" i="2"/>
  <c r="P13" i="2"/>
  <c r="P18" i="2"/>
  <c r="C66" i="25"/>
  <c r="C66" i="24"/>
  <c r="C48" i="18"/>
  <c r="C31" i="21"/>
  <c r="C34" i="19"/>
  <c r="C29" i="20"/>
  <c r="C33" i="15"/>
  <c r="C47" i="23"/>
  <c r="C49" i="22"/>
  <c r="C51" i="17"/>
  <c r="C65" i="16"/>
  <c r="C34" i="14"/>
  <c r="C34" i="13"/>
  <c r="C35" i="21"/>
  <c r="C70" i="25"/>
  <c r="C55" i="17"/>
  <c r="C70" i="24"/>
  <c r="C52" i="18"/>
  <c r="C37" i="15"/>
  <c r="C69" i="16"/>
  <c r="C53" i="22"/>
  <c r="C38" i="19"/>
  <c r="C51" i="23"/>
  <c r="C38" i="14"/>
  <c r="C38" i="13"/>
  <c r="C33" i="20"/>
  <c r="I41" i="2"/>
  <c r="M41" i="2" s="1"/>
  <c r="J61" i="2"/>
  <c r="W23" i="2"/>
  <c r="W16" i="2"/>
  <c r="W21" i="2"/>
  <c r="W14" i="2"/>
  <c r="W19" i="2"/>
  <c r="O30" i="3"/>
  <c r="D16" i="3"/>
  <c r="F16" i="3" s="1"/>
  <c r="D14" i="3"/>
  <c r="D21" i="3"/>
  <c r="D19" i="3"/>
  <c r="D14" i="4"/>
  <c r="D24" i="4"/>
  <c r="D19" i="4"/>
  <c r="D12" i="4"/>
  <c r="D17" i="4"/>
  <c r="F17" i="4" s="1"/>
  <c r="D22" i="4"/>
  <c r="F22" i="4" s="1"/>
  <c r="O49" i="4"/>
  <c r="M54" i="4"/>
  <c r="V16" i="5"/>
  <c r="X16" i="5" s="1"/>
  <c r="O55" i="5"/>
  <c r="W13" i="2"/>
  <c r="W15" i="2"/>
  <c r="W17" i="2"/>
  <c r="W24" i="2"/>
  <c r="L55" i="2"/>
  <c r="J55" i="2"/>
  <c r="I55" i="2"/>
  <c r="M55" i="2" s="1"/>
  <c r="D22" i="3"/>
  <c r="F22" i="3" s="1"/>
  <c r="P30" i="3"/>
  <c r="I32" i="3"/>
  <c r="I30" i="4"/>
  <c r="P37" i="4"/>
  <c r="C41" i="8"/>
  <c r="C41" i="9" s="1"/>
  <c r="C41" i="5"/>
  <c r="P49" i="4"/>
  <c r="C53" i="8"/>
  <c r="C53" i="9" s="1"/>
  <c r="C53" i="5"/>
  <c r="C56" i="5"/>
  <c r="C56" i="8"/>
  <c r="C56" i="9" s="1"/>
  <c r="W16" i="5"/>
  <c r="J36" i="5"/>
  <c r="O36" i="5" s="1"/>
  <c r="L36" i="5"/>
  <c r="I36" i="5"/>
  <c r="M36" i="5" s="1"/>
  <c r="P44" i="5"/>
  <c r="P55" i="5"/>
  <c r="I30" i="6"/>
  <c r="J34" i="6"/>
  <c r="I38" i="6"/>
  <c r="M38" i="6" s="1"/>
  <c r="P42" i="6"/>
  <c r="L34" i="7"/>
  <c r="J34" i="7"/>
  <c r="I34" i="7"/>
  <c r="M34" i="7" s="1"/>
  <c r="J55" i="7"/>
  <c r="O55" i="7" s="1"/>
  <c r="M30" i="8"/>
  <c r="I37" i="8"/>
  <c r="M37" i="8" s="1"/>
  <c r="P42" i="8"/>
  <c r="E14" i="8"/>
  <c r="E19" i="8"/>
  <c r="E17" i="8"/>
  <c r="E18" i="8"/>
  <c r="E23" i="8"/>
  <c r="E12" i="8"/>
  <c r="E22" i="8"/>
  <c r="H62" i="8"/>
  <c r="L43" i="9"/>
  <c r="P43" i="9" s="1"/>
  <c r="J51" i="9"/>
  <c r="L51" i="9"/>
  <c r="P51" i="9" s="1"/>
  <c r="I51" i="9"/>
  <c r="M51" i="9" s="1"/>
  <c r="J27" i="10"/>
  <c r="O27" i="10" s="1"/>
  <c r="P33" i="10"/>
  <c r="Q55" i="11"/>
  <c r="F37" i="11"/>
  <c r="F34" i="11"/>
  <c r="F20" i="11"/>
  <c r="F17" i="11"/>
  <c r="F14" i="11"/>
  <c r="F29" i="11"/>
  <c r="F26" i="11"/>
  <c r="F23" i="11"/>
  <c r="F25" i="11"/>
  <c r="F16" i="11"/>
  <c r="F28" i="11"/>
  <c r="F33" i="11"/>
  <c r="F24" i="11"/>
  <c r="F19" i="11"/>
  <c r="F15" i="11"/>
  <c r="J35" i="12"/>
  <c r="O35" i="12" s="1"/>
  <c r="Q72" i="24"/>
  <c r="Q72" i="25"/>
  <c r="Q53" i="23"/>
  <c r="I53" i="23" s="1"/>
  <c r="Q71" i="16"/>
  <c r="Q54" i="18"/>
  <c r="Q35" i="20"/>
  <c r="Q57" i="17"/>
  <c r="Q55" i="22"/>
  <c r="Q40" i="14"/>
  <c r="Q37" i="21"/>
  <c r="Q39" i="15"/>
  <c r="Q40" i="19"/>
  <c r="Q40" i="13"/>
  <c r="Q77" i="25"/>
  <c r="Q77" i="24"/>
  <c r="Q44" i="15"/>
  <c r="Q45" i="13"/>
  <c r="Q62" i="17"/>
  <c r="Q40" i="20"/>
  <c r="Q60" i="22"/>
  <c r="Q45" i="19"/>
  <c r="Q76" i="16"/>
  <c r="Q45" i="14"/>
  <c r="Q59" i="18"/>
  <c r="C50" i="13"/>
  <c r="L33" i="15"/>
  <c r="P33" i="15" s="1"/>
  <c r="J33" i="15"/>
  <c r="O33" i="15" s="1"/>
  <c r="I33" i="15"/>
  <c r="M33" i="15" s="1"/>
  <c r="L58" i="15"/>
  <c r="F17" i="16"/>
  <c r="J72" i="16"/>
  <c r="I72" i="16"/>
  <c r="M72" i="16" s="1"/>
  <c r="L41" i="20"/>
  <c r="J41" i="20"/>
  <c r="I41" i="20"/>
  <c r="M41" i="20" s="1"/>
  <c r="L32" i="19"/>
  <c r="J32" i="19"/>
  <c r="I32" i="19"/>
  <c r="M32" i="19" s="1"/>
  <c r="K49" i="22"/>
  <c r="J49" i="22"/>
  <c r="I49" i="22"/>
  <c r="M49" i="22" s="1"/>
  <c r="M75" i="27"/>
  <c r="N75" i="27"/>
  <c r="I80" i="27"/>
  <c r="J61" i="21"/>
  <c r="O53" i="21"/>
  <c r="I17" i="2"/>
  <c r="D21" i="2"/>
  <c r="F21" i="2" s="1"/>
  <c r="D12" i="3"/>
  <c r="F12" i="3" s="1"/>
  <c r="I20" i="5"/>
  <c r="P20" i="6"/>
  <c r="O13" i="7"/>
  <c r="Q13" i="7" s="1"/>
  <c r="D21" i="8"/>
  <c r="F21" i="8" s="1"/>
  <c r="D14" i="8"/>
  <c r="D24" i="8"/>
  <c r="F24" i="8" s="1"/>
  <c r="D12" i="8"/>
  <c r="F12" i="8" s="1"/>
  <c r="J58" i="9"/>
  <c r="D16" i="9"/>
  <c r="F16" i="9" s="1"/>
  <c r="I58" i="9"/>
  <c r="I24" i="9" s="1"/>
  <c r="D21" i="9"/>
  <c r="F21" i="9" s="1"/>
  <c r="D19" i="9"/>
  <c r="F19" i="9" s="1"/>
  <c r="L42" i="10"/>
  <c r="J42" i="10"/>
  <c r="O42" i="10" s="1"/>
  <c r="Q50" i="11"/>
  <c r="O52" i="12"/>
  <c r="C43" i="13"/>
  <c r="I21" i="13"/>
  <c r="I14" i="13"/>
  <c r="I19" i="13"/>
  <c r="I18" i="13"/>
  <c r="I23" i="13"/>
  <c r="I17" i="13"/>
  <c r="H58" i="14"/>
  <c r="L47" i="15"/>
  <c r="P47" i="15" s="1"/>
  <c r="J47" i="15"/>
  <c r="I47" i="15"/>
  <c r="M47" i="15" s="1"/>
  <c r="F24" i="16"/>
  <c r="J86" i="16"/>
  <c r="I86" i="16"/>
  <c r="M86" i="16" s="1"/>
  <c r="L32" i="20"/>
  <c r="J32" i="20"/>
  <c r="O32" i="20" s="1"/>
  <c r="J38" i="20"/>
  <c r="I38" i="20"/>
  <c r="M38" i="20" s="1"/>
  <c r="L38" i="20"/>
  <c r="P38" i="20" s="1"/>
  <c r="O48" i="20"/>
  <c r="C71" i="25"/>
  <c r="I36" i="21"/>
  <c r="M36" i="21" s="1"/>
  <c r="J36" i="21"/>
  <c r="O36" i="21" s="1"/>
  <c r="L36" i="21"/>
  <c r="P36" i="21" s="1"/>
  <c r="M50" i="21"/>
  <c r="C41" i="21"/>
  <c r="C61" i="17"/>
  <c r="C76" i="25"/>
  <c r="C58" i="18"/>
  <c r="C76" i="24"/>
  <c r="C57" i="23"/>
  <c r="C44" i="19"/>
  <c r="C43" i="20"/>
  <c r="C80" i="24"/>
  <c r="C63" i="22"/>
  <c r="C45" i="21"/>
  <c r="C62" i="18"/>
  <c r="C65" i="17"/>
  <c r="C48" i="14"/>
  <c r="C80" i="25"/>
  <c r="C48" i="13"/>
  <c r="C79" i="16"/>
  <c r="C47" i="15"/>
  <c r="C61" i="23"/>
  <c r="C48" i="19"/>
  <c r="I15" i="5"/>
  <c r="I31" i="5"/>
  <c r="P15" i="6"/>
  <c r="E23" i="6"/>
  <c r="I33" i="6"/>
  <c r="I37" i="6"/>
  <c r="I41" i="6"/>
  <c r="I45" i="6"/>
  <c r="I49" i="6"/>
  <c r="I53" i="6"/>
  <c r="I57" i="6"/>
  <c r="J61" i="6"/>
  <c r="P13" i="7"/>
  <c r="D16" i="7"/>
  <c r="F16" i="7" s="1"/>
  <c r="P25" i="7"/>
  <c r="I30" i="7"/>
  <c r="D22" i="8"/>
  <c r="F22" i="8" s="1"/>
  <c r="I32" i="8"/>
  <c r="C34" i="8"/>
  <c r="C34" i="9" s="1"/>
  <c r="I44" i="8"/>
  <c r="M44" i="8" s="1"/>
  <c r="C46" i="8"/>
  <c r="C46" i="9" s="1"/>
  <c r="D15" i="9"/>
  <c r="F15" i="9" s="1"/>
  <c r="E20" i="9"/>
  <c r="J46" i="9"/>
  <c r="I46" i="9"/>
  <c r="M46" i="9" s="1"/>
  <c r="L58" i="9"/>
  <c r="I32" i="10"/>
  <c r="M32" i="10" s="1"/>
  <c r="L36" i="10"/>
  <c r="J36" i="10"/>
  <c r="O36" i="10" s="1"/>
  <c r="O49" i="10"/>
  <c r="L51" i="10"/>
  <c r="P51" i="10" s="1"/>
  <c r="I51" i="10"/>
  <c r="M51" i="10" s="1"/>
  <c r="Q27" i="21"/>
  <c r="Q62" i="24"/>
  <c r="Q47" i="17"/>
  <c r="Q62" i="25"/>
  <c r="Q45" i="22"/>
  <c r="Q44" i="18"/>
  <c r="Q25" i="20"/>
  <c r="Q29" i="15"/>
  <c r="J34" i="12"/>
  <c r="O34" i="12" s="1"/>
  <c r="I34" i="12"/>
  <c r="M34" i="12" s="1"/>
  <c r="I29" i="13"/>
  <c r="I29" i="14"/>
  <c r="L41" i="14"/>
  <c r="J41" i="14"/>
  <c r="O41" i="14" s="1"/>
  <c r="L53" i="14"/>
  <c r="J53" i="14"/>
  <c r="I53" i="14"/>
  <c r="M53" i="14" s="1"/>
  <c r="J42" i="15"/>
  <c r="O42" i="15" s="1"/>
  <c r="I42" i="15"/>
  <c r="M42" i="15" s="1"/>
  <c r="F18" i="16"/>
  <c r="F34" i="16"/>
  <c r="F50" i="16"/>
  <c r="P69" i="17"/>
  <c r="J41" i="18"/>
  <c r="G72" i="18"/>
  <c r="I41" i="18"/>
  <c r="L43" i="19"/>
  <c r="P43" i="19" s="1"/>
  <c r="J43" i="19"/>
  <c r="I43" i="19"/>
  <c r="M43" i="19" s="1"/>
  <c r="I23" i="20"/>
  <c r="C39" i="20"/>
  <c r="F17" i="28"/>
  <c r="Q17" i="28"/>
  <c r="L39" i="8"/>
  <c r="V21" i="8" s="1"/>
  <c r="X21" i="8" s="1"/>
  <c r="I39" i="8"/>
  <c r="M39" i="8" s="1"/>
  <c r="L51" i="8"/>
  <c r="I51" i="8"/>
  <c r="M51" i="8" s="1"/>
  <c r="L30" i="10"/>
  <c r="J30" i="10"/>
  <c r="O30" i="10" s="1"/>
  <c r="P73" i="11"/>
  <c r="C39" i="13"/>
  <c r="F52" i="16"/>
  <c r="O53" i="19"/>
  <c r="J52" i="20"/>
  <c r="O23" i="20"/>
  <c r="J42" i="24"/>
  <c r="Q42" i="24"/>
  <c r="F42" i="24"/>
  <c r="X42" i="24"/>
  <c r="Q51" i="24"/>
  <c r="F51" i="24"/>
  <c r="X51" i="24"/>
  <c r="J59" i="25"/>
  <c r="G93" i="25"/>
  <c r="I79" i="26"/>
  <c r="M48" i="26"/>
  <c r="I34" i="3"/>
  <c r="I38" i="3"/>
  <c r="I42" i="3"/>
  <c r="I46" i="3"/>
  <c r="I50" i="3"/>
  <c r="I31" i="4"/>
  <c r="O31" i="4" s="1"/>
  <c r="I17" i="5"/>
  <c r="O54" i="5"/>
  <c r="E13" i="6"/>
  <c r="P17" i="6"/>
  <c r="E25" i="6"/>
  <c r="L57" i="6"/>
  <c r="P15" i="7"/>
  <c r="D18" i="7"/>
  <c r="F18" i="7" s="1"/>
  <c r="L30" i="7"/>
  <c r="I33" i="7"/>
  <c r="M33" i="7" s="1"/>
  <c r="I37" i="7"/>
  <c r="I41" i="7"/>
  <c r="I45" i="7"/>
  <c r="I49" i="7"/>
  <c r="O54" i="7"/>
  <c r="I56" i="7"/>
  <c r="M56" i="7" s="1"/>
  <c r="O57" i="7"/>
  <c r="D18" i="8"/>
  <c r="F18" i="8" s="1"/>
  <c r="L32" i="8"/>
  <c r="V17" i="8" s="1"/>
  <c r="X17" i="8" s="1"/>
  <c r="J39" i="8"/>
  <c r="O39" i="8" s="1"/>
  <c r="I41" i="8"/>
  <c r="M41" i="8" s="1"/>
  <c r="J51" i="8"/>
  <c r="O51" i="8" s="1"/>
  <c r="I53" i="8"/>
  <c r="M53" i="8" s="1"/>
  <c r="J56" i="8"/>
  <c r="E16" i="9"/>
  <c r="I32" i="9"/>
  <c r="M32" i="9" s="1"/>
  <c r="I39" i="9"/>
  <c r="M39" i="9" s="1"/>
  <c r="I41" i="9"/>
  <c r="I48" i="9"/>
  <c r="M48" i="9" s="1"/>
  <c r="P26" i="10"/>
  <c r="N44" i="11"/>
  <c r="J71" i="11"/>
  <c r="N71" i="11" s="1"/>
  <c r="I73" i="11"/>
  <c r="L29" i="12"/>
  <c r="J29" i="12"/>
  <c r="I31" i="12"/>
  <c r="M31" i="12" s="1"/>
  <c r="J41" i="12"/>
  <c r="O41" i="12" s="1"/>
  <c r="I43" i="12"/>
  <c r="Q76" i="25"/>
  <c r="Q39" i="20"/>
  <c r="Q44" i="19"/>
  <c r="Q57" i="23"/>
  <c r="I57" i="23" s="1"/>
  <c r="Q41" i="21"/>
  <c r="Q61" i="17"/>
  <c r="Q59" i="22"/>
  <c r="Q58" i="18"/>
  <c r="Q75" i="16"/>
  <c r="Q43" i="15"/>
  <c r="J78" i="25"/>
  <c r="K78" i="25"/>
  <c r="P78" i="25" s="1"/>
  <c r="I78" i="25"/>
  <c r="M78" i="25" s="1"/>
  <c r="L29" i="13"/>
  <c r="L43" i="13"/>
  <c r="P43" i="13" s="1"/>
  <c r="J43" i="13"/>
  <c r="O43" i="13" s="1"/>
  <c r="I43" i="13"/>
  <c r="M43" i="13" s="1"/>
  <c r="L29" i="14"/>
  <c r="J43" i="14"/>
  <c r="I43" i="14"/>
  <c r="M43" i="14" s="1"/>
  <c r="L43" i="14"/>
  <c r="P43" i="14" s="1"/>
  <c r="C43" i="15"/>
  <c r="L45" i="15"/>
  <c r="P45" i="15" s="1"/>
  <c r="I45" i="15"/>
  <c r="M45" i="15" s="1"/>
  <c r="E17" i="15"/>
  <c r="E15" i="15"/>
  <c r="E19" i="15"/>
  <c r="E21" i="15"/>
  <c r="E13" i="15"/>
  <c r="E14" i="15"/>
  <c r="J91" i="16"/>
  <c r="N59" i="16"/>
  <c r="N83" i="16"/>
  <c r="F35" i="18"/>
  <c r="F32" i="18"/>
  <c r="F18" i="18"/>
  <c r="F15" i="18"/>
  <c r="F26" i="18"/>
  <c r="F17" i="18"/>
  <c r="F28" i="18"/>
  <c r="F25" i="18"/>
  <c r="F24" i="18"/>
  <c r="F36" i="18"/>
  <c r="F23" i="18"/>
  <c r="F31" i="18"/>
  <c r="F19" i="18"/>
  <c r="F16" i="18"/>
  <c r="L23" i="20"/>
  <c r="I59" i="25"/>
  <c r="N48" i="26"/>
  <c r="J79" i="26"/>
  <c r="D25" i="2"/>
  <c r="F25" i="2" s="1"/>
  <c r="H12" i="1" s="1"/>
  <c r="C45" i="18"/>
  <c r="C63" i="25"/>
  <c r="C63" i="24"/>
  <c r="C46" i="22"/>
  <c r="C28" i="21"/>
  <c r="C44" i="23"/>
  <c r="C62" i="16"/>
  <c r="C71" i="24"/>
  <c r="C54" i="22"/>
  <c r="C52" i="23"/>
  <c r="C36" i="21"/>
  <c r="C34" i="20"/>
  <c r="C39" i="19"/>
  <c r="C56" i="17"/>
  <c r="C38" i="15"/>
  <c r="C57" i="18"/>
  <c r="C75" i="25"/>
  <c r="C75" i="24"/>
  <c r="C56" i="23"/>
  <c r="C38" i="20"/>
  <c r="C58" i="22"/>
  <c r="C40" i="21"/>
  <c r="C42" i="15"/>
  <c r="C74" i="16"/>
  <c r="I12" i="5"/>
  <c r="P12" i="6"/>
  <c r="D13" i="7"/>
  <c r="F13" i="7" s="1"/>
  <c r="D13" i="8"/>
  <c r="F13" i="8" s="1"/>
  <c r="M30" i="9"/>
  <c r="J34" i="9"/>
  <c r="I34" i="9"/>
  <c r="M34" i="9" s="1"/>
  <c r="L39" i="9"/>
  <c r="P39" i="9" s="1"/>
  <c r="J50" i="9"/>
  <c r="O50" i="9" s="1"/>
  <c r="I50" i="9"/>
  <c r="M50" i="9" s="1"/>
  <c r="O55" i="9"/>
  <c r="E21" i="9"/>
  <c r="E14" i="9"/>
  <c r="H62" i="9"/>
  <c r="E24" i="9"/>
  <c r="E12" i="9"/>
  <c r="I26" i="10"/>
  <c r="Q67" i="11"/>
  <c r="H55" i="10"/>
  <c r="J73" i="11"/>
  <c r="Q29" i="21"/>
  <c r="Q47" i="22"/>
  <c r="Q64" i="25"/>
  <c r="Q64" i="24"/>
  <c r="Q45" i="23"/>
  <c r="I45" i="23" s="1"/>
  <c r="Q63" i="16"/>
  <c r="Q31" i="15"/>
  <c r="Q46" i="18"/>
  <c r="Q27" i="20"/>
  <c r="Q66" i="24"/>
  <c r="Q47" i="23"/>
  <c r="I47" i="23" s="1"/>
  <c r="Q29" i="20"/>
  <c r="Q34" i="19"/>
  <c r="Q65" i="16"/>
  <c r="Q34" i="14"/>
  <c r="Q51" i="17"/>
  <c r="Q31" i="21"/>
  <c r="Q34" i="13"/>
  <c r="Q66" i="25"/>
  <c r="Q48" i="18"/>
  <c r="Q71" i="24"/>
  <c r="Q71" i="25"/>
  <c r="Q53" i="18"/>
  <c r="Q39" i="13"/>
  <c r="Q70" i="16"/>
  <c r="Q39" i="19"/>
  <c r="Q34" i="20"/>
  <c r="Q56" i="17"/>
  <c r="Q39" i="14"/>
  <c r="H59" i="12"/>
  <c r="L55" i="12"/>
  <c r="J55" i="12"/>
  <c r="I55" i="12"/>
  <c r="L41" i="13"/>
  <c r="P41" i="13" s="1"/>
  <c r="J41" i="13"/>
  <c r="O41" i="13" s="1"/>
  <c r="Q38" i="15"/>
  <c r="I18" i="15"/>
  <c r="I16" i="15"/>
  <c r="I15" i="15"/>
  <c r="I14" i="15"/>
  <c r="I22" i="15"/>
  <c r="P59" i="16"/>
  <c r="K91" i="16"/>
  <c r="Q61" i="16"/>
  <c r="Q49" i="17"/>
  <c r="J54" i="17"/>
  <c r="I54" i="17"/>
  <c r="M54" i="17" s="1"/>
  <c r="I67" i="17"/>
  <c r="M67" i="17" s="1"/>
  <c r="J67" i="17"/>
  <c r="J31" i="18"/>
  <c r="J28" i="18"/>
  <c r="J34" i="18"/>
  <c r="J25" i="18"/>
  <c r="J16" i="18"/>
  <c r="J36" i="18"/>
  <c r="J24" i="18"/>
  <c r="J23" i="18"/>
  <c r="J35" i="18"/>
  <c r="J19" i="18"/>
  <c r="J15" i="18"/>
  <c r="J32" i="18"/>
  <c r="J26" i="18"/>
  <c r="J20" i="18"/>
  <c r="J33" i="18"/>
  <c r="J27" i="18"/>
  <c r="P24" i="21"/>
  <c r="L58" i="21"/>
  <c r="C59" i="22"/>
  <c r="F33" i="25"/>
  <c r="K59" i="25"/>
  <c r="F27" i="29"/>
  <c r="Q63" i="25"/>
  <c r="Q44" i="23"/>
  <c r="H81" i="23" s="1"/>
  <c r="Q26" i="20"/>
  <c r="Q63" i="24"/>
  <c r="Q62" i="16"/>
  <c r="Q31" i="19"/>
  <c r="Q48" i="17"/>
  <c r="Q45" i="18"/>
  <c r="Q69" i="24"/>
  <c r="Q34" i="21"/>
  <c r="Q69" i="25"/>
  <c r="Q68" i="16"/>
  <c r="Q36" i="15"/>
  <c r="Q52" i="22"/>
  <c r="Q56" i="23"/>
  <c r="I56" i="23" s="1"/>
  <c r="Q58" i="22"/>
  <c r="Q60" i="17"/>
  <c r="Q75" i="25"/>
  <c r="Q57" i="18"/>
  <c r="Q75" i="24"/>
  <c r="Q65" i="22"/>
  <c r="Q45" i="20"/>
  <c r="Q82" i="24"/>
  <c r="Q82" i="25"/>
  <c r="Q64" i="18"/>
  <c r="Q63" i="23"/>
  <c r="I63" i="23" s="1"/>
  <c r="Q50" i="19"/>
  <c r="Q49" i="15"/>
  <c r="P52" i="12"/>
  <c r="J42" i="13"/>
  <c r="I42" i="13"/>
  <c r="M42" i="13" s="1"/>
  <c r="H59" i="14"/>
  <c r="H56" i="15"/>
  <c r="L27" i="15"/>
  <c r="J27" i="15"/>
  <c r="Q51" i="18"/>
  <c r="M24" i="20"/>
  <c r="P47" i="20"/>
  <c r="O47" i="20"/>
  <c r="I63" i="22"/>
  <c r="M63" i="22" s="1"/>
  <c r="K63" i="22"/>
  <c r="J63" i="22"/>
  <c r="N63" i="22" s="1"/>
  <c r="F28" i="22"/>
  <c r="F15" i="22"/>
  <c r="F34" i="22"/>
  <c r="F25" i="22"/>
  <c r="F16" i="22"/>
  <c r="F24" i="22"/>
  <c r="F32" i="22"/>
  <c r="F19" i="22"/>
  <c r="F35" i="22"/>
  <c r="F27" i="22"/>
  <c r="F33" i="22"/>
  <c r="F18" i="22"/>
  <c r="F17" i="22"/>
  <c r="F23" i="22"/>
  <c r="K87" i="25"/>
  <c r="G96" i="25"/>
  <c r="F15" i="25" s="1"/>
  <c r="J87" i="25"/>
  <c r="P48" i="26"/>
  <c r="I28" i="13"/>
  <c r="Q31" i="13"/>
  <c r="I28" i="14"/>
  <c r="Q31" i="14"/>
  <c r="I55" i="14"/>
  <c r="I27" i="15"/>
  <c r="J79" i="17"/>
  <c r="N73" i="17"/>
  <c r="G79" i="17"/>
  <c r="J57" i="19"/>
  <c r="I54" i="19"/>
  <c r="M54" i="19" s="1"/>
  <c r="O24" i="20"/>
  <c r="F36" i="22"/>
  <c r="K44" i="22"/>
  <c r="J44" i="22"/>
  <c r="I44" i="22"/>
  <c r="Q29" i="24"/>
  <c r="F29" i="24"/>
  <c r="X29" i="24"/>
  <c r="I87" i="25"/>
  <c r="G79" i="26"/>
  <c r="K71" i="26"/>
  <c r="J71" i="26"/>
  <c r="N71" i="26" s="1"/>
  <c r="I67" i="28"/>
  <c r="M67" i="28" s="1"/>
  <c r="K67" i="28"/>
  <c r="J67" i="28"/>
  <c r="N67" i="28" s="1"/>
  <c r="F32" i="29"/>
  <c r="I79" i="17"/>
  <c r="I43" i="18"/>
  <c r="J43" i="18"/>
  <c r="N66" i="18"/>
  <c r="Q47" i="21"/>
  <c r="J51" i="21"/>
  <c r="I51" i="21"/>
  <c r="M51" i="21" s="1"/>
  <c r="L51" i="21"/>
  <c r="P51" i="21" s="1"/>
  <c r="J28" i="22"/>
  <c r="J25" i="22"/>
  <c r="J35" i="22"/>
  <c r="J36" i="22"/>
  <c r="J31" i="22"/>
  <c r="J27" i="22"/>
  <c r="J18" i="22"/>
  <c r="J19" i="22"/>
  <c r="J23" i="22"/>
  <c r="J15" i="22"/>
  <c r="J33" i="22"/>
  <c r="J32" i="22"/>
  <c r="J34" i="22"/>
  <c r="J20" i="22"/>
  <c r="Q50" i="23"/>
  <c r="I50" i="23" s="1"/>
  <c r="M65" i="23"/>
  <c r="J65" i="23"/>
  <c r="Q21" i="24"/>
  <c r="X21" i="24"/>
  <c r="N48" i="27"/>
  <c r="F40" i="27"/>
  <c r="F37" i="27"/>
  <c r="F20" i="27"/>
  <c r="F17" i="27"/>
  <c r="F31" i="27"/>
  <c r="F42" i="27"/>
  <c r="F29" i="27"/>
  <c r="F28" i="27"/>
  <c r="F16" i="27"/>
  <c r="F39" i="27"/>
  <c r="F32" i="27"/>
  <c r="F38" i="27"/>
  <c r="F27" i="27"/>
  <c r="F22" i="27"/>
  <c r="F19" i="27"/>
  <c r="F26" i="27"/>
  <c r="F18" i="27"/>
  <c r="F15" i="27"/>
  <c r="F36" i="27"/>
  <c r="F35" i="27"/>
  <c r="F30" i="27"/>
  <c r="F21" i="27"/>
  <c r="F41" i="27"/>
  <c r="F25" i="29"/>
  <c r="M65" i="29"/>
  <c r="N67" i="29"/>
  <c r="J69" i="11"/>
  <c r="J72" i="11"/>
  <c r="N72" i="11" s="1"/>
  <c r="J28" i="12"/>
  <c r="Q43" i="21"/>
  <c r="Q46" i="19"/>
  <c r="Q59" i="23"/>
  <c r="I59" i="23" s="1"/>
  <c r="Q61" i="22"/>
  <c r="Q77" i="16"/>
  <c r="Q46" i="14"/>
  <c r="Q78" i="24"/>
  <c r="L51" i="12"/>
  <c r="P51" i="12" s="1"/>
  <c r="J51" i="12"/>
  <c r="O51" i="12" s="1"/>
  <c r="I51" i="12"/>
  <c r="M51" i="12" s="1"/>
  <c r="J51" i="13"/>
  <c r="E18" i="13"/>
  <c r="E23" i="13"/>
  <c r="E16" i="13"/>
  <c r="P28" i="14"/>
  <c r="J51" i="14"/>
  <c r="O51" i="14" s="1"/>
  <c r="Q81" i="16"/>
  <c r="F32" i="16"/>
  <c r="F36" i="16"/>
  <c r="F22" i="16"/>
  <c r="F43" i="16"/>
  <c r="F35" i="16"/>
  <c r="F30" i="16"/>
  <c r="M46" i="17"/>
  <c r="I71" i="17"/>
  <c r="M71" i="17" s="1"/>
  <c r="K73" i="17"/>
  <c r="Q60" i="18"/>
  <c r="K66" i="18"/>
  <c r="P66" i="18" s="1"/>
  <c r="N68" i="18"/>
  <c r="L29" i="19"/>
  <c r="J29" i="19"/>
  <c r="I29" i="19"/>
  <c r="P48" i="20"/>
  <c r="Q28" i="21"/>
  <c r="F31" i="22"/>
  <c r="N67" i="22"/>
  <c r="N70" i="22"/>
  <c r="J80" i="22"/>
  <c r="I41" i="23"/>
  <c r="F21" i="24"/>
  <c r="I57" i="24"/>
  <c r="K57" i="24"/>
  <c r="J57" i="24"/>
  <c r="N86" i="24"/>
  <c r="X44" i="30"/>
  <c r="X42" i="30"/>
  <c r="X46" i="30"/>
  <c r="X41" i="30"/>
  <c r="X43" i="30"/>
  <c r="X40" i="30"/>
  <c r="X29" i="30"/>
  <c r="X33" i="30"/>
  <c r="X31" i="30"/>
  <c r="X21" i="30"/>
  <c r="X19" i="30"/>
  <c r="X48" i="30"/>
  <c r="X28" i="30"/>
  <c r="X16" i="30"/>
  <c r="X39" i="30"/>
  <c r="X27" i="30"/>
  <c r="X23" i="30"/>
  <c r="X22" i="30"/>
  <c r="X18" i="30"/>
  <c r="X17" i="30"/>
  <c r="X15" i="30"/>
  <c r="X36" i="30"/>
  <c r="X30" i="30"/>
  <c r="X34" i="30"/>
  <c r="X47" i="30"/>
  <c r="X45" i="30"/>
  <c r="X35" i="30"/>
  <c r="X32" i="30"/>
  <c r="X20" i="30"/>
  <c r="Q49" i="18"/>
  <c r="Q30" i="20"/>
  <c r="Q67" i="25"/>
  <c r="Q48" i="23"/>
  <c r="I48" i="23" s="1"/>
  <c r="Q67" i="24"/>
  <c r="Q66" i="16"/>
  <c r="Q50" i="22"/>
  <c r="Q32" i="21"/>
  <c r="Q52" i="17"/>
  <c r="Q35" i="19"/>
  <c r="Q73" i="25"/>
  <c r="Q73" i="24"/>
  <c r="Q55" i="18"/>
  <c r="Q54" i="23"/>
  <c r="I54" i="23" s="1"/>
  <c r="Q36" i="20"/>
  <c r="Q41" i="19"/>
  <c r="Q56" i="22"/>
  <c r="Q38" i="21"/>
  <c r="Q40" i="15"/>
  <c r="E15" i="13"/>
  <c r="M51" i="15"/>
  <c r="F44" i="16"/>
  <c r="I59" i="16"/>
  <c r="N84" i="16"/>
  <c r="M84" i="16"/>
  <c r="I76" i="17"/>
  <c r="M44" i="17"/>
  <c r="I48" i="20"/>
  <c r="M48" i="20" s="1"/>
  <c r="Q40" i="21"/>
  <c r="J48" i="21"/>
  <c r="L48" i="21"/>
  <c r="P48" i="21" s="1"/>
  <c r="I48" i="21"/>
  <c r="M48" i="21" s="1"/>
  <c r="K80" i="22"/>
  <c r="P70" i="22"/>
  <c r="M39" i="23"/>
  <c r="Q19" i="24"/>
  <c r="X19" i="24"/>
  <c r="F38" i="32"/>
  <c r="F25" i="32"/>
  <c r="F23" i="32"/>
  <c r="F33" i="32"/>
  <c r="F24" i="32"/>
  <c r="F20" i="32"/>
  <c r="F15" i="32"/>
  <c r="F37" i="32"/>
  <c r="F18" i="32"/>
  <c r="F36" i="32"/>
  <c r="F35" i="32"/>
  <c r="F34" i="32"/>
  <c r="F16" i="32"/>
  <c r="F27" i="32"/>
  <c r="F14" i="32"/>
  <c r="F29" i="32"/>
  <c r="F19" i="32"/>
  <c r="F17" i="32"/>
  <c r="F28" i="32"/>
  <c r="F32" i="32"/>
  <c r="J49" i="21"/>
  <c r="L49" i="21"/>
  <c r="L61" i="21"/>
  <c r="P53" i="21"/>
  <c r="K43" i="22"/>
  <c r="I43" i="22"/>
  <c r="J75" i="26"/>
  <c r="K75" i="26"/>
  <c r="G81" i="26"/>
  <c r="I75" i="26"/>
  <c r="P48" i="27"/>
  <c r="F48" i="16"/>
  <c r="L55" i="19"/>
  <c r="J55" i="19"/>
  <c r="H59" i="19"/>
  <c r="I55" i="19"/>
  <c r="I49" i="21"/>
  <c r="M49" i="21" s="1"/>
  <c r="J43" i="22"/>
  <c r="X18" i="24"/>
  <c r="X33" i="24"/>
  <c r="F33" i="24"/>
  <c r="Q33" i="24"/>
  <c r="J46" i="24"/>
  <c r="X46" i="24"/>
  <c r="P73" i="26"/>
  <c r="K73" i="27"/>
  <c r="J73" i="27"/>
  <c r="I73" i="27"/>
  <c r="M73" i="27" s="1"/>
  <c r="F25" i="34"/>
  <c r="Q39" i="21"/>
  <c r="Q42" i="19"/>
  <c r="Q59" i="17"/>
  <c r="Q55" i="23"/>
  <c r="I55" i="23" s="1"/>
  <c r="Q74" i="24"/>
  <c r="Q45" i="21"/>
  <c r="Q80" i="25"/>
  <c r="Q80" i="24"/>
  <c r="Q65" i="17"/>
  <c r="Q61" i="23"/>
  <c r="I61" i="23" s="1"/>
  <c r="Q48" i="19"/>
  <c r="I53" i="15"/>
  <c r="M53" i="15" s="1"/>
  <c r="Q62" i="18"/>
  <c r="M69" i="23"/>
  <c r="J69" i="23"/>
  <c r="X20" i="24"/>
  <c r="F20" i="24"/>
  <c r="Q20" i="24"/>
  <c r="K92" i="25"/>
  <c r="P58" i="25"/>
  <c r="X37" i="27"/>
  <c r="Q37" i="27"/>
  <c r="K44" i="28"/>
  <c r="I44" i="28"/>
  <c r="G75" i="28"/>
  <c r="N54" i="30"/>
  <c r="J85" i="30"/>
  <c r="J53" i="15"/>
  <c r="F42" i="16"/>
  <c r="F49" i="16"/>
  <c r="K68" i="17"/>
  <c r="P68" i="17" s="1"/>
  <c r="N68" i="17"/>
  <c r="P51" i="19"/>
  <c r="P53" i="19"/>
  <c r="I49" i="20"/>
  <c r="M49" i="20" s="1"/>
  <c r="L49" i="20"/>
  <c r="P49" i="20" s="1"/>
  <c r="J49" i="20"/>
  <c r="E17" i="20"/>
  <c r="E14" i="20"/>
  <c r="M24" i="21"/>
  <c r="I58" i="21"/>
  <c r="J58" i="21"/>
  <c r="Q57" i="22"/>
  <c r="I76" i="22"/>
  <c r="L66" i="23"/>
  <c r="P66" i="23" s="1"/>
  <c r="X30" i="24"/>
  <c r="Q30" i="24"/>
  <c r="F30" i="24"/>
  <c r="X41" i="24"/>
  <c r="X32" i="24"/>
  <c r="X31" i="24"/>
  <c r="I58" i="25"/>
  <c r="N73" i="26"/>
  <c r="I71" i="27"/>
  <c r="M71" i="27" s="1"/>
  <c r="J44" i="28"/>
  <c r="P54" i="30"/>
  <c r="Q42" i="20"/>
  <c r="Q61" i="18"/>
  <c r="Q44" i="21"/>
  <c r="Q64" i="17"/>
  <c r="Q79" i="16"/>
  <c r="J87" i="16"/>
  <c r="I87" i="16"/>
  <c r="J42" i="18"/>
  <c r="G73" i="18"/>
  <c r="J65" i="18"/>
  <c r="I51" i="19"/>
  <c r="M51" i="19" s="1"/>
  <c r="I53" i="19"/>
  <c r="M53" i="19" s="1"/>
  <c r="Q37" i="20"/>
  <c r="I16" i="20"/>
  <c r="I13" i="20"/>
  <c r="Q60" i="23"/>
  <c r="I60" i="23" s="1"/>
  <c r="X22" i="24"/>
  <c r="F22" i="24"/>
  <c r="J25" i="24"/>
  <c r="X25" i="24"/>
  <c r="F25" i="24"/>
  <c r="K61" i="24"/>
  <c r="J61" i="24"/>
  <c r="I61" i="24"/>
  <c r="Q79" i="24"/>
  <c r="J58" i="25"/>
  <c r="M61" i="25"/>
  <c r="Q18" i="27"/>
  <c r="J71" i="27"/>
  <c r="F19" i="28"/>
  <c r="F22" i="29"/>
  <c r="M43" i="29"/>
  <c r="K84" i="31"/>
  <c r="P53" i="31"/>
  <c r="K80" i="32"/>
  <c r="P72" i="32"/>
  <c r="Q17" i="24"/>
  <c r="F17" i="24"/>
  <c r="Q49" i="24"/>
  <c r="N43" i="29"/>
  <c r="N68" i="29"/>
  <c r="F21" i="16"/>
  <c r="I52" i="21"/>
  <c r="N66" i="22"/>
  <c r="I42" i="23"/>
  <c r="X36" i="24"/>
  <c r="Q36" i="24"/>
  <c r="J36" i="24"/>
  <c r="X50" i="24"/>
  <c r="F50" i="24"/>
  <c r="N69" i="28"/>
  <c r="M69" i="28"/>
  <c r="I40" i="29"/>
  <c r="K69" i="29"/>
  <c r="J69" i="29"/>
  <c r="I69" i="29"/>
  <c r="P77" i="31"/>
  <c r="M70" i="32"/>
  <c r="N70" i="32"/>
  <c r="J68" i="22"/>
  <c r="N68" i="22" s="1"/>
  <c r="Q15" i="24"/>
  <c r="Q23" i="24"/>
  <c r="F23" i="24"/>
  <c r="Q43" i="24"/>
  <c r="F49" i="24"/>
  <c r="I60" i="24"/>
  <c r="K60" i="24"/>
  <c r="J60" i="24"/>
  <c r="P57" i="25"/>
  <c r="I94" i="25"/>
  <c r="M60" i="25"/>
  <c r="J91" i="25"/>
  <c r="Q32" i="28"/>
  <c r="P45" i="28"/>
  <c r="N45" i="28"/>
  <c r="F24" i="29"/>
  <c r="F26" i="29"/>
  <c r="J40" i="29"/>
  <c r="G75" i="29"/>
  <c r="N80" i="30"/>
  <c r="P80" i="30"/>
  <c r="F23" i="16"/>
  <c r="K68" i="22"/>
  <c r="O40" i="23"/>
  <c r="F16" i="24"/>
  <c r="X35" i="24"/>
  <c r="F35" i="24"/>
  <c r="F36" i="24"/>
  <c r="Q47" i="24"/>
  <c r="X47" i="24"/>
  <c r="J48" i="24"/>
  <c r="X48" i="24"/>
  <c r="F48" i="24"/>
  <c r="Q48" i="24"/>
  <c r="N60" i="25"/>
  <c r="Q35" i="32"/>
  <c r="Q34" i="32"/>
  <c r="Q25" i="32"/>
  <c r="Q16" i="32"/>
  <c r="Q28" i="32"/>
  <c r="Q20" i="32"/>
  <c r="Q29" i="32"/>
  <c r="Q17" i="32"/>
  <c r="Q33" i="32"/>
  <c r="Q32" i="32"/>
  <c r="Q18" i="32"/>
  <c r="Q15" i="32"/>
  <c r="Q14" i="32"/>
  <c r="Q37" i="32"/>
  <c r="Q24" i="32"/>
  <c r="Q36" i="32"/>
  <c r="Q27" i="32"/>
  <c r="Q38" i="32"/>
  <c r="Q19" i="32"/>
  <c r="Q23" i="32"/>
  <c r="Q26" i="32"/>
  <c r="P69" i="33"/>
  <c r="K75" i="33"/>
  <c r="X37" i="24"/>
  <c r="F37" i="24"/>
  <c r="J45" i="24"/>
  <c r="Q45" i="24"/>
  <c r="G90" i="24"/>
  <c r="K56" i="24"/>
  <c r="J56" i="24"/>
  <c r="G94" i="25"/>
  <c r="Q29" i="28"/>
  <c r="F23" i="29"/>
  <c r="Q32" i="24"/>
  <c r="F44" i="24"/>
  <c r="I56" i="24"/>
  <c r="N58" i="24"/>
  <c r="J92" i="24"/>
  <c r="J85" i="25"/>
  <c r="N85" i="25" s="1"/>
  <c r="J49" i="26"/>
  <c r="F29" i="28"/>
  <c r="M55" i="31"/>
  <c r="I87" i="31"/>
  <c r="M81" i="31"/>
  <c r="J65" i="33"/>
  <c r="I65" i="33"/>
  <c r="K65" i="33"/>
  <c r="P65" i="33" s="1"/>
  <c r="G73" i="33"/>
  <c r="H57" i="19"/>
  <c r="I28" i="19"/>
  <c r="O28" i="19" s="1"/>
  <c r="L24" i="20"/>
  <c r="N69" i="22"/>
  <c r="X24" i="24"/>
  <c r="F45" i="24"/>
  <c r="P83" i="24"/>
  <c r="P85" i="24"/>
  <c r="M87" i="24"/>
  <c r="I96" i="24"/>
  <c r="J16" i="24" s="1"/>
  <c r="J83" i="25"/>
  <c r="N83" i="25" s="1"/>
  <c r="K85" i="25"/>
  <c r="P85" i="25" s="1"/>
  <c r="K49" i="26"/>
  <c r="F34" i="29"/>
  <c r="I79" i="30"/>
  <c r="M79" i="30" s="1"/>
  <c r="J79" i="30"/>
  <c r="N79" i="30" s="1"/>
  <c r="K79" i="30"/>
  <c r="N55" i="31"/>
  <c r="P69" i="32"/>
  <c r="Q42" i="27"/>
  <c r="Q39" i="27"/>
  <c r="Q36" i="27"/>
  <c r="Q22" i="27"/>
  <c r="Q19" i="27"/>
  <c r="Q16" i="27"/>
  <c r="Q41" i="27"/>
  <c r="Q30" i="27"/>
  <c r="Q28" i="27"/>
  <c r="Q21" i="27"/>
  <c r="G77" i="28"/>
  <c r="F15" i="28" s="1"/>
  <c r="K71" i="28"/>
  <c r="F19" i="29"/>
  <c r="J76" i="29"/>
  <c r="F24" i="24"/>
  <c r="J49" i="27"/>
  <c r="P49" i="27" s="1"/>
  <c r="Q20" i="28"/>
  <c r="Q26" i="28"/>
  <c r="I71" i="28"/>
  <c r="K76" i="29"/>
  <c r="P41" i="29"/>
  <c r="K77" i="30"/>
  <c r="I77" i="30"/>
  <c r="M77" i="30" s="1"/>
  <c r="G85" i="30"/>
  <c r="F46" i="25"/>
  <c r="N47" i="26"/>
  <c r="J47" i="27"/>
  <c r="K47" i="27"/>
  <c r="N71" i="28"/>
  <c r="J77" i="28"/>
  <c r="Q18" i="28" s="1"/>
  <c r="F16" i="29"/>
  <c r="N77" i="30"/>
  <c r="X31" i="27"/>
  <c r="X42" i="27"/>
  <c r="G85" i="31"/>
  <c r="J54" i="31"/>
  <c r="I54" i="31"/>
  <c r="N81" i="31"/>
  <c r="J87" i="31"/>
  <c r="F29" i="34"/>
  <c r="J81" i="30"/>
  <c r="I81" i="30"/>
  <c r="G87" i="30"/>
  <c r="P54" i="31"/>
  <c r="J77" i="31"/>
  <c r="I77" i="31"/>
  <c r="M77" i="31" s="1"/>
  <c r="P81" i="31"/>
  <c r="K87" i="31"/>
  <c r="J68" i="33"/>
  <c r="I68" i="33"/>
  <c r="M68" i="33" s="1"/>
  <c r="K68" i="33"/>
  <c r="P68" i="33" s="1"/>
  <c r="P47" i="34"/>
  <c r="G86" i="34"/>
  <c r="F15" i="34" s="1"/>
  <c r="J74" i="34"/>
  <c r="K74" i="34"/>
  <c r="I74" i="34"/>
  <c r="I42" i="29"/>
  <c r="J42" i="29"/>
  <c r="M54" i="30"/>
  <c r="I75" i="33"/>
  <c r="M69" i="33"/>
  <c r="J82" i="34"/>
  <c r="P45" i="34"/>
  <c r="N45" i="34"/>
  <c r="J70" i="34"/>
  <c r="K70" i="34"/>
  <c r="I70" i="34"/>
  <c r="F17" i="29"/>
  <c r="M45" i="32"/>
  <c r="I75" i="32"/>
  <c r="M43" i="35"/>
  <c r="M43" i="33"/>
  <c r="F46" i="31"/>
  <c r="F43" i="31"/>
  <c r="F39" i="31"/>
  <c r="F31" i="31"/>
  <c r="F18" i="31"/>
  <c r="F16" i="31"/>
  <c r="F28" i="31"/>
  <c r="F24" i="31"/>
  <c r="F40" i="31"/>
  <c r="F15" i="31"/>
  <c r="F48" i="31"/>
  <c r="F29" i="31"/>
  <c r="F41" i="31"/>
  <c r="F23" i="31"/>
  <c r="F42" i="31"/>
  <c r="F20" i="34"/>
  <c r="N47" i="34"/>
  <c r="I77" i="35"/>
  <c r="M40" i="35"/>
  <c r="P43" i="35"/>
  <c r="K72" i="33"/>
  <c r="P41" i="33"/>
  <c r="N78" i="31"/>
  <c r="I48" i="27"/>
  <c r="I43" i="28"/>
  <c r="M68" i="28"/>
  <c r="I41" i="29"/>
  <c r="K55" i="30"/>
  <c r="I55" i="30"/>
  <c r="I80" i="30"/>
  <c r="M80" i="30" s="1"/>
  <c r="P55" i="31"/>
  <c r="P78" i="31"/>
  <c r="J44" i="32"/>
  <c r="K44" i="32"/>
  <c r="G77" i="32"/>
  <c r="G78" i="32"/>
  <c r="J43" i="28"/>
  <c r="I70" i="28"/>
  <c r="M70" i="28" s="1"/>
  <c r="J70" i="28"/>
  <c r="N70" i="28" s="1"/>
  <c r="F30" i="29"/>
  <c r="J84" i="30"/>
  <c r="N53" i="30"/>
  <c r="N55" i="30"/>
  <c r="I84" i="31"/>
  <c r="M53" i="31"/>
  <c r="I77" i="32"/>
  <c r="I78" i="32"/>
  <c r="K67" i="33"/>
  <c r="I67" i="33"/>
  <c r="M67" i="33" s="1"/>
  <c r="J67" i="33"/>
  <c r="N67" i="33" s="1"/>
  <c r="J75" i="32"/>
  <c r="N43" i="32"/>
  <c r="P43" i="32"/>
  <c r="K76" i="32"/>
  <c r="P67" i="32"/>
  <c r="P66" i="33"/>
  <c r="K43" i="33"/>
  <c r="J43" i="33"/>
  <c r="F27" i="35"/>
  <c r="Q27" i="35"/>
  <c r="J27" i="35"/>
  <c r="X27" i="35"/>
  <c r="M41" i="33"/>
  <c r="I72" i="33"/>
  <c r="N43" i="35"/>
  <c r="N40" i="35"/>
  <c r="J77" i="35"/>
  <c r="N80" i="31"/>
  <c r="K77" i="35"/>
  <c r="P40" i="35"/>
  <c r="K67" i="35"/>
  <c r="P67" i="35" s="1"/>
  <c r="J67" i="35"/>
  <c r="I67" i="35"/>
  <c r="M67" i="35" s="1"/>
  <c r="P45" i="32"/>
  <c r="J38" i="32"/>
  <c r="J35" i="32"/>
  <c r="J32" i="32"/>
  <c r="J18" i="32"/>
  <c r="J15" i="32"/>
  <c r="J19" i="32"/>
  <c r="I76" i="32"/>
  <c r="M67" i="32"/>
  <c r="Q23" i="35"/>
  <c r="F23" i="35"/>
  <c r="X23" i="35"/>
  <c r="G81" i="34"/>
  <c r="K44" i="34"/>
  <c r="I44" i="34"/>
  <c r="P48" i="34"/>
  <c r="N41" i="33"/>
  <c r="J44" i="34"/>
  <c r="Q26" i="35"/>
  <c r="F26" i="35"/>
  <c r="J26" i="35"/>
  <c r="F36" i="34"/>
  <c r="G75" i="33"/>
  <c r="P65" i="35"/>
  <c r="N69" i="33"/>
  <c r="J75" i="33"/>
  <c r="J72" i="34"/>
  <c r="K72" i="34"/>
  <c r="P72" i="34" s="1"/>
  <c r="I72" i="34"/>
  <c r="M72" i="34" s="1"/>
  <c r="F24" i="35"/>
  <c r="Q24" i="35"/>
  <c r="J24" i="35"/>
  <c r="N42" i="35"/>
  <c r="F24" i="34"/>
  <c r="P73" i="34"/>
  <c r="I82" i="34"/>
  <c r="N68" i="35"/>
  <c r="F16" i="34"/>
  <c r="F27" i="34"/>
  <c r="G83" i="34"/>
  <c r="X34" i="35"/>
  <c r="X31" i="35"/>
  <c r="I43" i="34"/>
  <c r="J43" i="34"/>
  <c r="Q33" i="35"/>
  <c r="Q30" i="35"/>
  <c r="Q19" i="35"/>
  <c r="Q16" i="35"/>
  <c r="Q22" i="35"/>
  <c r="Q25" i="35"/>
  <c r="I41" i="35"/>
  <c r="G77" i="35"/>
  <c r="K41" i="35"/>
  <c r="D33" i="23" l="1"/>
  <c r="F33" i="23" s="1"/>
  <c r="H98" i="1" s="1"/>
  <c r="D30" i="23"/>
  <c r="F30" i="23" s="1"/>
  <c r="D25" i="23"/>
  <c r="F25" i="23" s="1"/>
  <c r="Q71" i="31"/>
  <c r="Q65" i="27"/>
  <c r="Q61" i="28"/>
  <c r="Q59" i="29"/>
  <c r="Q71" i="30"/>
  <c r="Q65" i="26"/>
  <c r="L45" i="21"/>
  <c r="J45" i="21"/>
  <c r="O45" i="21" s="1"/>
  <c r="I45" i="21"/>
  <c r="M45" i="21" s="1"/>
  <c r="I55" i="18"/>
  <c r="M55" i="18" s="1"/>
  <c r="J55" i="18"/>
  <c r="H12" i="9"/>
  <c r="J12" i="9" s="1"/>
  <c r="L12" i="9" s="1"/>
  <c r="M12" i="9" s="1"/>
  <c r="M35" i="8"/>
  <c r="O35" i="8"/>
  <c r="I38" i="12"/>
  <c r="M38" i="12" s="1"/>
  <c r="L38" i="12"/>
  <c r="J38" i="12"/>
  <c r="O38" i="12" s="1"/>
  <c r="N74" i="16"/>
  <c r="K74" i="16"/>
  <c r="P74" i="16" s="1"/>
  <c r="I49" i="18"/>
  <c r="M49" i="18" s="1"/>
  <c r="J49" i="18"/>
  <c r="M55" i="14"/>
  <c r="I59" i="14"/>
  <c r="O55" i="14"/>
  <c r="M48" i="11"/>
  <c r="I44" i="18"/>
  <c r="M44" i="18" s="1"/>
  <c r="J44" i="18"/>
  <c r="G74" i="18"/>
  <c r="P58" i="9"/>
  <c r="V23" i="9"/>
  <c r="V17" i="9"/>
  <c r="X17" i="9" s="1"/>
  <c r="V22" i="9"/>
  <c r="V16" i="9"/>
  <c r="X16" i="9" s="1"/>
  <c r="Z16" i="9" s="1"/>
  <c r="AA16" i="9" s="1"/>
  <c r="V19" i="9"/>
  <c r="X19" i="9" s="1"/>
  <c r="V20" i="9"/>
  <c r="X20" i="9" s="1"/>
  <c r="V25" i="9"/>
  <c r="V18" i="9"/>
  <c r="V13" i="9"/>
  <c r="V15" i="9"/>
  <c r="W20" i="9"/>
  <c r="W13" i="9"/>
  <c r="V24" i="9"/>
  <c r="W18" i="9"/>
  <c r="V21" i="9"/>
  <c r="X21" i="9" s="1"/>
  <c r="Z21" i="9" s="1"/>
  <c r="AA21" i="9" s="1"/>
  <c r="W14" i="9"/>
  <c r="W24" i="9"/>
  <c r="V14" i="9"/>
  <c r="V12" i="9"/>
  <c r="W16" i="9"/>
  <c r="W21" i="9"/>
  <c r="W19" i="9"/>
  <c r="W25" i="9"/>
  <c r="W17" i="9"/>
  <c r="W23" i="9"/>
  <c r="W22" i="9"/>
  <c r="W15" i="9"/>
  <c r="O38" i="2"/>
  <c r="O25" i="2"/>
  <c r="Q25" i="2" s="1"/>
  <c r="O13" i="2"/>
  <c r="Q13" i="2" s="1"/>
  <c r="O15" i="2"/>
  <c r="Q15" i="2" s="1"/>
  <c r="O20" i="2"/>
  <c r="Q20" i="2" s="1"/>
  <c r="S20" i="2" s="1"/>
  <c r="T20" i="2" s="1"/>
  <c r="O18" i="2"/>
  <c r="Q18" i="2" s="1"/>
  <c r="N41" i="18"/>
  <c r="K41" i="18"/>
  <c r="J72" i="18"/>
  <c r="M57" i="24"/>
  <c r="I91" i="24"/>
  <c r="Q59" i="31"/>
  <c r="Q47" i="29"/>
  <c r="Q53" i="27"/>
  <c r="Q49" i="28"/>
  <c r="Q59" i="30"/>
  <c r="Q53" i="26"/>
  <c r="C73" i="31"/>
  <c r="C63" i="28"/>
  <c r="C67" i="27"/>
  <c r="C73" i="30"/>
  <c r="C61" i="29"/>
  <c r="C67" i="26"/>
  <c r="I44" i="19"/>
  <c r="M44" i="19" s="1"/>
  <c r="L44" i="19"/>
  <c r="J44" i="19"/>
  <c r="O44" i="19" s="1"/>
  <c r="P39" i="8"/>
  <c r="V12" i="8"/>
  <c r="X12" i="8" s="1"/>
  <c r="Z12" i="8" s="1"/>
  <c r="AA12" i="8" s="1"/>
  <c r="M32" i="8"/>
  <c r="H19" i="8"/>
  <c r="J19" i="8" s="1"/>
  <c r="I61" i="8"/>
  <c r="H20" i="8"/>
  <c r="J20" i="8" s="1"/>
  <c r="L20" i="8" s="1"/>
  <c r="M20" i="8" s="1"/>
  <c r="H13" i="8"/>
  <c r="J13" i="8" s="1"/>
  <c r="L13" i="8" s="1"/>
  <c r="M13" i="8" s="1"/>
  <c r="H25" i="8"/>
  <c r="J25" i="8" s="1"/>
  <c r="H18" i="8"/>
  <c r="J18" i="8" s="1"/>
  <c r="L18" i="8" s="1"/>
  <c r="M18" i="8" s="1"/>
  <c r="H12" i="8"/>
  <c r="J12" i="8" s="1"/>
  <c r="L12" i="8" s="1"/>
  <c r="M12" i="8" s="1"/>
  <c r="H23" i="8"/>
  <c r="J23" i="8" s="1"/>
  <c r="H17" i="8"/>
  <c r="J17" i="8" s="1"/>
  <c r="H21" i="8"/>
  <c r="J21" i="8" s="1"/>
  <c r="L21" i="8" s="1"/>
  <c r="M21" i="8" s="1"/>
  <c r="H15" i="8"/>
  <c r="J15" i="8" s="1"/>
  <c r="L15" i="8" s="1"/>
  <c r="M15" i="8" s="1"/>
  <c r="H22" i="8"/>
  <c r="J22" i="8" s="1"/>
  <c r="L22" i="8" s="1"/>
  <c r="M22" i="8" s="1"/>
  <c r="O32" i="8"/>
  <c r="H16" i="8"/>
  <c r="J16" i="8" s="1"/>
  <c r="L16" i="8" s="1"/>
  <c r="M16" i="8" s="1"/>
  <c r="H14" i="8"/>
  <c r="J14" i="8" s="1"/>
  <c r="H24" i="8"/>
  <c r="J24" i="8" s="1"/>
  <c r="L24" i="8" s="1"/>
  <c r="M24" i="8" s="1"/>
  <c r="P36" i="5"/>
  <c r="L61" i="5"/>
  <c r="V12" i="5"/>
  <c r="L44" i="21"/>
  <c r="J44" i="21"/>
  <c r="I44" i="21"/>
  <c r="M44" i="21" s="1"/>
  <c r="I81" i="26"/>
  <c r="M75" i="26"/>
  <c r="N44" i="22"/>
  <c r="L59" i="12"/>
  <c r="P55" i="12"/>
  <c r="J48" i="18"/>
  <c r="I48" i="18"/>
  <c r="M48" i="18" s="1"/>
  <c r="I32" i="12"/>
  <c r="M32" i="12" s="1"/>
  <c r="L32" i="12"/>
  <c r="J32" i="12"/>
  <c r="O32" i="12" s="1"/>
  <c r="H58" i="12"/>
  <c r="O56" i="8"/>
  <c r="P56" i="8"/>
  <c r="O13" i="8"/>
  <c r="Q13" i="8" s="1"/>
  <c r="S13" i="8" s="1"/>
  <c r="T13" i="8" s="1"/>
  <c r="M41" i="7"/>
  <c r="O41" i="7"/>
  <c r="J62" i="4"/>
  <c r="P23" i="4"/>
  <c r="P16" i="4"/>
  <c r="P21" i="4"/>
  <c r="P14" i="4"/>
  <c r="O57" i="4"/>
  <c r="P19" i="4"/>
  <c r="P20" i="4"/>
  <c r="P22" i="4"/>
  <c r="P24" i="4"/>
  <c r="P12" i="4"/>
  <c r="P17" i="4"/>
  <c r="P13" i="4"/>
  <c r="P15" i="4"/>
  <c r="P18" i="4"/>
  <c r="P25" i="4"/>
  <c r="H19" i="5"/>
  <c r="J12" i="1"/>
  <c r="K12" i="1" s="1"/>
  <c r="L12" i="1" s="1"/>
  <c r="L25" i="2"/>
  <c r="M25" i="2" s="1"/>
  <c r="I54" i="10"/>
  <c r="M25" i="10"/>
  <c r="P33" i="3"/>
  <c r="V13" i="3"/>
  <c r="V17" i="3"/>
  <c r="X17" i="3" s="1"/>
  <c r="Z17" i="3" s="1"/>
  <c r="AA17" i="3" s="1"/>
  <c r="V16" i="3"/>
  <c r="V19" i="3"/>
  <c r="V15" i="3"/>
  <c r="V18" i="3"/>
  <c r="V20" i="3"/>
  <c r="V21" i="3"/>
  <c r="V22" i="3"/>
  <c r="L60" i="3"/>
  <c r="V25" i="3"/>
  <c r="V14" i="3"/>
  <c r="X14" i="3" s="1"/>
  <c r="V23" i="3"/>
  <c r="V24" i="3"/>
  <c r="X24" i="3" s="1"/>
  <c r="Q14" i="4"/>
  <c r="N65" i="18"/>
  <c r="K65" i="18"/>
  <c r="P65" i="18" s="1"/>
  <c r="O30" i="13"/>
  <c r="P30" i="13"/>
  <c r="M40" i="9"/>
  <c r="O40" i="9"/>
  <c r="Q23" i="3"/>
  <c r="O16" i="2"/>
  <c r="Q16" i="2" s="1"/>
  <c r="O18" i="8"/>
  <c r="Q18" i="8" s="1"/>
  <c r="S18" i="8" s="1"/>
  <c r="T18" i="8" s="1"/>
  <c r="J53" i="23"/>
  <c r="M53" i="23"/>
  <c r="P70" i="34"/>
  <c r="K83" i="34"/>
  <c r="K51" i="22"/>
  <c r="I51" i="22"/>
  <c r="M51" i="22" s="1"/>
  <c r="J51" i="22"/>
  <c r="N51" i="22" s="1"/>
  <c r="Z17" i="8"/>
  <c r="AA17" i="8" s="1"/>
  <c r="N56" i="24"/>
  <c r="J90" i="24"/>
  <c r="J63" i="23"/>
  <c r="M63" i="23"/>
  <c r="K52" i="22"/>
  <c r="P52" i="22" s="1"/>
  <c r="J52" i="22"/>
  <c r="I52" i="22"/>
  <c r="M52" i="22" s="1"/>
  <c r="I44" i="23"/>
  <c r="H79" i="23"/>
  <c r="H82" i="23"/>
  <c r="D32" i="23" s="1"/>
  <c r="F32" i="23" s="1"/>
  <c r="H80" i="23"/>
  <c r="D18" i="14"/>
  <c r="D23" i="14"/>
  <c r="D16" i="14"/>
  <c r="D20" i="14"/>
  <c r="D14" i="14"/>
  <c r="D19" i="14"/>
  <c r="D21" i="14"/>
  <c r="F21" i="14" s="1"/>
  <c r="D17" i="14"/>
  <c r="D22" i="14"/>
  <c r="D13" i="14"/>
  <c r="D15" i="14"/>
  <c r="K60" i="28"/>
  <c r="J60" i="28"/>
  <c r="I60" i="28"/>
  <c r="M60" i="28" s="1"/>
  <c r="P19" i="15"/>
  <c r="P20" i="15"/>
  <c r="P22" i="15"/>
  <c r="P12" i="15"/>
  <c r="P13" i="15"/>
  <c r="P21" i="15"/>
  <c r="P17" i="15"/>
  <c r="P16" i="15"/>
  <c r="P18" i="15"/>
  <c r="P15" i="15"/>
  <c r="P14" i="15"/>
  <c r="J62" i="23"/>
  <c r="M62" i="23"/>
  <c r="V15" i="2"/>
  <c r="X15" i="2" s="1"/>
  <c r="Z15" i="2" s="1"/>
  <c r="AA15" i="2" s="1"/>
  <c r="W12" i="9"/>
  <c r="M41" i="6"/>
  <c r="O41" i="6"/>
  <c r="M60" i="24"/>
  <c r="I94" i="24"/>
  <c r="H19" i="3"/>
  <c r="J19" i="3" s="1"/>
  <c r="H12" i="3"/>
  <c r="J12" i="3" s="1"/>
  <c r="L12" i="3" s="1"/>
  <c r="M12" i="3" s="1"/>
  <c r="H17" i="3"/>
  <c r="J17" i="3" s="1"/>
  <c r="L17" i="3" s="1"/>
  <c r="M17" i="3" s="1"/>
  <c r="H22" i="3"/>
  <c r="J22" i="3" s="1"/>
  <c r="L22" i="3" s="1"/>
  <c r="M22" i="3" s="1"/>
  <c r="M32" i="3"/>
  <c r="H23" i="3"/>
  <c r="J23" i="3" s="1"/>
  <c r="L23" i="3" s="1"/>
  <c r="M23" i="3" s="1"/>
  <c r="H13" i="3"/>
  <c r="J13" i="3" s="1"/>
  <c r="L13" i="3" s="1"/>
  <c r="M13" i="3" s="1"/>
  <c r="H25" i="3"/>
  <c r="J25" i="3" s="1"/>
  <c r="H14" i="3"/>
  <c r="J14" i="3" s="1"/>
  <c r="H20" i="3"/>
  <c r="J20" i="3" s="1"/>
  <c r="L20" i="3" s="1"/>
  <c r="M20" i="3" s="1"/>
  <c r="H18" i="3"/>
  <c r="J18" i="3" s="1"/>
  <c r="L18" i="3" s="1"/>
  <c r="M18" i="3" s="1"/>
  <c r="H16" i="3"/>
  <c r="J16" i="3" s="1"/>
  <c r="L16" i="3" s="1"/>
  <c r="M16" i="3" s="1"/>
  <c r="H21" i="3"/>
  <c r="J21" i="3" s="1"/>
  <c r="I60" i="3"/>
  <c r="H15" i="3"/>
  <c r="J15" i="3" s="1"/>
  <c r="L15" i="3" s="1"/>
  <c r="M15" i="3" s="1"/>
  <c r="H24" i="3"/>
  <c r="J24" i="3" s="1"/>
  <c r="O32" i="3"/>
  <c r="M41" i="35"/>
  <c r="I78" i="35"/>
  <c r="N41" i="35"/>
  <c r="N87" i="25"/>
  <c r="J96" i="25"/>
  <c r="O23" i="2"/>
  <c r="Q23" i="2" s="1"/>
  <c r="S23" i="2" s="1"/>
  <c r="T23" i="2" s="1"/>
  <c r="K51" i="11"/>
  <c r="P51" i="11" s="1"/>
  <c r="J51" i="11"/>
  <c r="N51" i="11" s="1"/>
  <c r="I51" i="11"/>
  <c r="M51" i="11" s="1"/>
  <c r="G78" i="11"/>
  <c r="Q22" i="3"/>
  <c r="P38" i="2"/>
  <c r="Q21" i="4"/>
  <c r="M55" i="23"/>
  <c r="J55" i="23"/>
  <c r="P75" i="26"/>
  <c r="K81" i="26"/>
  <c r="J60" i="18"/>
  <c r="I60" i="18"/>
  <c r="M60" i="18" s="1"/>
  <c r="Q72" i="31"/>
  <c r="Q72" i="30"/>
  <c r="Q66" i="27"/>
  <c r="Q60" i="29"/>
  <c r="Q62" i="28"/>
  <c r="Q66" i="26"/>
  <c r="I46" i="18"/>
  <c r="M46" i="18" s="1"/>
  <c r="J46" i="18"/>
  <c r="P29" i="13"/>
  <c r="P42" i="10"/>
  <c r="K77" i="25"/>
  <c r="P77" i="25" s="1"/>
  <c r="J77" i="25"/>
  <c r="N77" i="25" s="1"/>
  <c r="I77" i="25"/>
  <c r="M77" i="25" s="1"/>
  <c r="J60" i="2"/>
  <c r="P31" i="2"/>
  <c r="V12" i="2"/>
  <c r="X12" i="2" s="1"/>
  <c r="O42" i="7"/>
  <c r="O32" i="5"/>
  <c r="J61" i="5"/>
  <c r="P34" i="15"/>
  <c r="N73" i="27"/>
  <c r="K73" i="25"/>
  <c r="P73" i="25" s="1"/>
  <c r="J73" i="25"/>
  <c r="N73" i="25" s="1"/>
  <c r="I73" i="25"/>
  <c r="M73" i="25" s="1"/>
  <c r="O27" i="15"/>
  <c r="J56" i="15"/>
  <c r="P49" i="22"/>
  <c r="P54" i="13"/>
  <c r="K48" i="22"/>
  <c r="J48" i="22"/>
  <c r="I48" i="22"/>
  <c r="J77" i="32"/>
  <c r="J78" i="32"/>
  <c r="N44" i="32"/>
  <c r="K79" i="17"/>
  <c r="P73" i="17"/>
  <c r="P67" i="28"/>
  <c r="K69" i="25"/>
  <c r="P69" i="25" s="1"/>
  <c r="J69" i="25"/>
  <c r="I69" i="25"/>
  <c r="M69" i="25" s="1"/>
  <c r="M26" i="10"/>
  <c r="O43" i="12"/>
  <c r="M43" i="12"/>
  <c r="I31" i="20"/>
  <c r="M31" i="20" s="1"/>
  <c r="L31" i="20"/>
  <c r="P31" i="20" s="1"/>
  <c r="J31" i="20"/>
  <c r="V19" i="2"/>
  <c r="X19" i="2" s="1"/>
  <c r="M40" i="29"/>
  <c r="I75" i="29"/>
  <c r="O39" i="9"/>
  <c r="O51" i="9"/>
  <c r="C61" i="31"/>
  <c r="C61" i="30"/>
  <c r="C55" i="27"/>
  <c r="C51" i="28"/>
  <c r="C55" i="26"/>
  <c r="C49" i="29"/>
  <c r="O20" i="3"/>
  <c r="Q20" i="3" s="1"/>
  <c r="S20" i="3" s="1"/>
  <c r="T20" i="3" s="1"/>
  <c r="P32" i="4"/>
  <c r="H13" i="5"/>
  <c r="O26" i="10"/>
  <c r="P43" i="5"/>
  <c r="O48" i="13"/>
  <c r="K64" i="22"/>
  <c r="J64" i="22"/>
  <c r="I64" i="22"/>
  <c r="M64" i="22" s="1"/>
  <c r="I68" i="25"/>
  <c r="M68" i="25" s="1"/>
  <c r="K68" i="25"/>
  <c r="P68" i="25" s="1"/>
  <c r="J68" i="25"/>
  <c r="V13" i="8"/>
  <c r="X13" i="8" s="1"/>
  <c r="P44" i="13"/>
  <c r="O17" i="8"/>
  <c r="Q17" i="8" s="1"/>
  <c r="V14" i="2"/>
  <c r="X14" i="2" s="1"/>
  <c r="J53" i="22"/>
  <c r="K53" i="22"/>
  <c r="P53" i="22" s="1"/>
  <c r="I53" i="22"/>
  <c r="M53" i="22" s="1"/>
  <c r="D15" i="10"/>
  <c r="F15" i="10" s="1"/>
  <c r="P37" i="13"/>
  <c r="I20" i="9"/>
  <c r="I77" i="22"/>
  <c r="M42" i="22"/>
  <c r="O46" i="10"/>
  <c r="F13" i="3"/>
  <c r="O35" i="14"/>
  <c r="P50" i="14"/>
  <c r="O46" i="5"/>
  <c r="P47" i="14"/>
  <c r="V20" i="4"/>
  <c r="P47" i="2"/>
  <c r="O18" i="4"/>
  <c r="Q18" i="4" s="1"/>
  <c r="K78" i="32"/>
  <c r="K77" i="32"/>
  <c r="P44" i="32"/>
  <c r="F43" i="25"/>
  <c r="P87" i="25"/>
  <c r="K96" i="25"/>
  <c r="J68" i="16"/>
  <c r="I68" i="16"/>
  <c r="M68" i="16" s="1"/>
  <c r="L31" i="15"/>
  <c r="J31" i="15"/>
  <c r="I31" i="15"/>
  <c r="M31" i="15" s="1"/>
  <c r="O46" i="9"/>
  <c r="P46" i="9"/>
  <c r="O34" i="5"/>
  <c r="O48" i="12"/>
  <c r="J44" i="24"/>
  <c r="J42" i="23"/>
  <c r="M42" i="23"/>
  <c r="P43" i="22"/>
  <c r="O38" i="3"/>
  <c r="M38" i="3"/>
  <c r="M29" i="14"/>
  <c r="O29" i="14"/>
  <c r="O55" i="2"/>
  <c r="O15" i="3"/>
  <c r="C63" i="30"/>
  <c r="C63" i="31"/>
  <c r="C57" i="27"/>
  <c r="C53" i="28"/>
  <c r="C57" i="26"/>
  <c r="C51" i="29"/>
  <c r="L46" i="21"/>
  <c r="P46" i="21" s="1"/>
  <c r="I46" i="21"/>
  <c r="M46" i="21" s="1"/>
  <c r="J46" i="21"/>
  <c r="O46" i="21" s="1"/>
  <c r="O46" i="7"/>
  <c r="P36" i="4"/>
  <c r="I15" i="9"/>
  <c r="N42" i="22"/>
  <c r="J77" i="22"/>
  <c r="O58" i="23"/>
  <c r="L58" i="23"/>
  <c r="P58" i="23" s="1"/>
  <c r="P46" i="5"/>
  <c r="O48" i="4"/>
  <c r="V16" i="4"/>
  <c r="X16" i="4" s="1"/>
  <c r="Z16" i="4" s="1"/>
  <c r="AA16" i="4" s="1"/>
  <c r="P18" i="20"/>
  <c r="P15" i="20"/>
  <c r="P17" i="20"/>
  <c r="P16" i="20"/>
  <c r="P13" i="20"/>
  <c r="P14" i="20"/>
  <c r="O15" i="4"/>
  <c r="Q15" i="4" s="1"/>
  <c r="J83" i="34"/>
  <c r="N70" i="34"/>
  <c r="J61" i="18"/>
  <c r="I61" i="18"/>
  <c r="M61" i="18" s="1"/>
  <c r="J31" i="14"/>
  <c r="I31" i="14"/>
  <c r="M31" i="14" s="1"/>
  <c r="L31" i="14"/>
  <c r="K67" i="17"/>
  <c r="P67" i="17" s="1"/>
  <c r="N67" i="17"/>
  <c r="L39" i="20"/>
  <c r="P39" i="20" s="1"/>
  <c r="J39" i="20"/>
  <c r="I39" i="20"/>
  <c r="M39" i="20" s="1"/>
  <c r="I45" i="22"/>
  <c r="M45" i="22" s="1"/>
  <c r="K45" i="22"/>
  <c r="J45" i="22"/>
  <c r="N45" i="22" s="1"/>
  <c r="G79" i="22"/>
  <c r="J72" i="25"/>
  <c r="N72" i="25" s="1"/>
  <c r="K72" i="25"/>
  <c r="I72" i="25"/>
  <c r="M72" i="25" s="1"/>
  <c r="P37" i="9"/>
  <c r="I64" i="16"/>
  <c r="M64" i="16" s="1"/>
  <c r="J64" i="16"/>
  <c r="M41" i="9"/>
  <c r="O41" i="9"/>
  <c r="K62" i="25"/>
  <c r="J62" i="25"/>
  <c r="I62" i="25"/>
  <c r="G95" i="25"/>
  <c r="E30" i="25" s="1"/>
  <c r="I59" i="18"/>
  <c r="M59" i="18" s="1"/>
  <c r="J59" i="18"/>
  <c r="Q13" i="3"/>
  <c r="S13" i="3" s="1"/>
  <c r="T13" i="3" s="1"/>
  <c r="J48" i="15"/>
  <c r="O48" i="15" s="1"/>
  <c r="L48" i="15"/>
  <c r="P48" i="15" s="1"/>
  <c r="I48" i="15"/>
  <c r="M48" i="15" s="1"/>
  <c r="N62" i="22"/>
  <c r="J61" i="8"/>
  <c r="O33" i="8"/>
  <c r="O22" i="8"/>
  <c r="Q22" i="8" s="1"/>
  <c r="O12" i="8"/>
  <c r="Q12" i="8" s="1"/>
  <c r="S12" i="8" s="1"/>
  <c r="T12" i="8" s="1"/>
  <c r="C75" i="31"/>
  <c r="C63" i="29"/>
  <c r="C65" i="28"/>
  <c r="C69" i="26"/>
  <c r="C69" i="27"/>
  <c r="C75" i="30"/>
  <c r="F49" i="25"/>
  <c r="N75" i="26"/>
  <c r="J81" i="26"/>
  <c r="J77" i="16"/>
  <c r="I77" i="16"/>
  <c r="M77" i="16" s="1"/>
  <c r="L56" i="15"/>
  <c r="P27" i="15"/>
  <c r="P23" i="20"/>
  <c r="L52" i="20"/>
  <c r="H22" i="9"/>
  <c r="J22" i="9" s="1"/>
  <c r="L22" i="9" s="1"/>
  <c r="M22" i="9" s="1"/>
  <c r="L45" i="14"/>
  <c r="P45" i="14" s="1"/>
  <c r="I45" i="14"/>
  <c r="M45" i="14" s="1"/>
  <c r="J45" i="14"/>
  <c r="J83" i="23"/>
  <c r="L71" i="23"/>
  <c r="O71" i="23"/>
  <c r="O25" i="3"/>
  <c r="Q25" i="3" s="1"/>
  <c r="P30" i="12"/>
  <c r="P58" i="5"/>
  <c r="W20" i="5"/>
  <c r="V18" i="5"/>
  <c r="X18" i="5" s="1"/>
  <c r="V22" i="5"/>
  <c r="X22" i="5" s="1"/>
  <c r="W25" i="5"/>
  <c r="V25" i="5"/>
  <c r="X25" i="5" s="1"/>
  <c r="W23" i="5"/>
  <c r="V23" i="5"/>
  <c r="W21" i="5"/>
  <c r="W15" i="5"/>
  <c r="V15" i="5"/>
  <c r="X15" i="5" s="1"/>
  <c r="W13" i="5"/>
  <c r="V13" i="5"/>
  <c r="X13" i="5" s="1"/>
  <c r="O31" i="6"/>
  <c r="J60" i="6"/>
  <c r="Q35" i="33"/>
  <c r="Q27" i="33"/>
  <c r="Q24" i="33"/>
  <c r="Q17" i="33"/>
  <c r="Q15" i="33"/>
  <c r="Q25" i="33"/>
  <c r="Q20" i="33"/>
  <c r="Q34" i="33"/>
  <c r="Q19" i="33"/>
  <c r="Q33" i="33"/>
  <c r="Q26" i="33"/>
  <c r="Q31" i="33"/>
  <c r="Q18" i="33"/>
  <c r="Q36" i="33"/>
  <c r="Q28" i="33"/>
  <c r="Q23" i="33"/>
  <c r="Q32" i="33"/>
  <c r="Q16" i="33"/>
  <c r="K77" i="28"/>
  <c r="P71" i="28"/>
  <c r="F36" i="25"/>
  <c r="J52" i="17"/>
  <c r="I52" i="17"/>
  <c r="M52" i="17" s="1"/>
  <c r="M28" i="13"/>
  <c r="I57" i="13"/>
  <c r="L34" i="21"/>
  <c r="J34" i="21"/>
  <c r="O34" i="21" s="1"/>
  <c r="I34" i="21"/>
  <c r="M34" i="21" s="1"/>
  <c r="K54" i="17"/>
  <c r="P54" i="17" s="1"/>
  <c r="N54" i="17"/>
  <c r="J22" i="24"/>
  <c r="I39" i="21"/>
  <c r="M39" i="21" s="1"/>
  <c r="L39" i="21"/>
  <c r="P39" i="21" s="1"/>
  <c r="J39" i="21"/>
  <c r="O51" i="21"/>
  <c r="J65" i="22"/>
  <c r="N65" i="22" s="1"/>
  <c r="I65" i="22"/>
  <c r="M65" i="22" s="1"/>
  <c r="K65" i="22"/>
  <c r="L34" i="20"/>
  <c r="J34" i="20"/>
  <c r="I34" i="20"/>
  <c r="M34" i="20" s="1"/>
  <c r="C69" i="31"/>
  <c r="C57" i="29"/>
  <c r="C63" i="27"/>
  <c r="C59" i="28"/>
  <c r="C63" i="26"/>
  <c r="C69" i="30"/>
  <c r="O47" i="3"/>
  <c r="J61" i="4"/>
  <c r="O40" i="2"/>
  <c r="C72" i="30"/>
  <c r="C72" i="31"/>
  <c r="C62" i="28"/>
  <c r="C66" i="26"/>
  <c r="C60" i="29"/>
  <c r="C66" i="27"/>
  <c r="O24" i="8"/>
  <c r="Q24" i="8" s="1"/>
  <c r="S24" i="8" s="1"/>
  <c r="T24" i="8" s="1"/>
  <c r="O34" i="2"/>
  <c r="N77" i="31"/>
  <c r="F18" i="25"/>
  <c r="J65" i="16"/>
  <c r="I65" i="16"/>
  <c r="M65" i="16" s="1"/>
  <c r="O29" i="12"/>
  <c r="M34" i="3"/>
  <c r="O34" i="3"/>
  <c r="O58" i="9"/>
  <c r="O18" i="9"/>
  <c r="Q18" i="9" s="1"/>
  <c r="O22" i="9"/>
  <c r="O15" i="9"/>
  <c r="Q15" i="9" s="1"/>
  <c r="O16" i="9"/>
  <c r="Q16" i="9" s="1"/>
  <c r="O14" i="9"/>
  <c r="O17" i="9"/>
  <c r="P21" i="9"/>
  <c r="O21" i="9"/>
  <c r="Q21" i="9" s="1"/>
  <c r="P14" i="9"/>
  <c r="P65" i="11"/>
  <c r="V19" i="5"/>
  <c r="X19" i="5" s="1"/>
  <c r="O30" i="19"/>
  <c r="O12" i="9"/>
  <c r="O16" i="5"/>
  <c r="L61" i="8"/>
  <c r="P40" i="2"/>
  <c r="O22" i="2"/>
  <c r="Q22" i="2" s="1"/>
  <c r="L49" i="19"/>
  <c r="I49" i="19"/>
  <c r="M49" i="19" s="1"/>
  <c r="J49" i="19"/>
  <c r="O49" i="19" s="1"/>
  <c r="H24" i="2"/>
  <c r="J24" i="2" s="1"/>
  <c r="L24" i="2" s="1"/>
  <c r="M24" i="2" s="1"/>
  <c r="J33" i="19"/>
  <c r="L33" i="19"/>
  <c r="P33" i="19" s="1"/>
  <c r="I33" i="19"/>
  <c r="M33" i="19" s="1"/>
  <c r="J49" i="23"/>
  <c r="M49" i="23"/>
  <c r="V24" i="8"/>
  <c r="X24" i="8" s="1"/>
  <c r="P20" i="10"/>
  <c r="P13" i="10"/>
  <c r="J56" i="10"/>
  <c r="O52" i="10"/>
  <c r="P15" i="10"/>
  <c r="P14" i="10"/>
  <c r="P19" i="10"/>
  <c r="P17" i="10"/>
  <c r="P12" i="10"/>
  <c r="P18" i="10"/>
  <c r="P16" i="10"/>
  <c r="O19" i="8"/>
  <c r="Q19" i="8" s="1"/>
  <c r="O48" i="5"/>
  <c r="P46" i="7"/>
  <c r="P25" i="3"/>
  <c r="P13" i="3"/>
  <c r="P18" i="3"/>
  <c r="Q18" i="3" s="1"/>
  <c r="S18" i="3" s="1"/>
  <c r="T18" i="3" s="1"/>
  <c r="P23" i="3"/>
  <c r="P16" i="3"/>
  <c r="P21" i="3"/>
  <c r="Q21" i="3" s="1"/>
  <c r="S21" i="3" s="1"/>
  <c r="T21" i="3" s="1"/>
  <c r="O57" i="3"/>
  <c r="P15" i="3"/>
  <c r="P17" i="3"/>
  <c r="P19" i="3"/>
  <c r="P22" i="3"/>
  <c r="J61" i="3"/>
  <c r="P20" i="3"/>
  <c r="P12" i="3"/>
  <c r="P14" i="3"/>
  <c r="P24" i="3"/>
  <c r="P34" i="2"/>
  <c r="V16" i="2"/>
  <c r="X16" i="2" s="1"/>
  <c r="Z16" i="2" s="1"/>
  <c r="AA16" i="2" s="1"/>
  <c r="J51" i="23"/>
  <c r="M51" i="23"/>
  <c r="D17" i="10"/>
  <c r="F17" i="10" s="1"/>
  <c r="P15" i="9"/>
  <c r="N54" i="11"/>
  <c r="I17" i="9"/>
  <c r="P42" i="22"/>
  <c r="K77" i="22"/>
  <c r="P49" i="2"/>
  <c r="O31" i="10"/>
  <c r="O44" i="12"/>
  <c r="P48" i="4"/>
  <c r="V25" i="4"/>
  <c r="X25" i="4" s="1"/>
  <c r="O17" i="4"/>
  <c r="Q17" i="4" s="1"/>
  <c r="P24" i="20"/>
  <c r="P56" i="24"/>
  <c r="K90" i="24"/>
  <c r="Q68" i="30"/>
  <c r="Q68" i="31"/>
  <c r="Q62" i="27"/>
  <c r="Q56" i="29"/>
  <c r="Q58" i="28"/>
  <c r="Q62" i="26"/>
  <c r="P74" i="25"/>
  <c r="O38" i="7"/>
  <c r="O47" i="5"/>
  <c r="O35" i="5"/>
  <c r="J65" i="25"/>
  <c r="I65" i="25"/>
  <c r="M65" i="25" s="1"/>
  <c r="K65" i="25"/>
  <c r="P65" i="25" s="1"/>
  <c r="J55" i="17"/>
  <c r="I55" i="17"/>
  <c r="M55" i="17" s="1"/>
  <c r="P42" i="5"/>
  <c r="J42" i="20"/>
  <c r="O42" i="20" s="1"/>
  <c r="I42" i="20"/>
  <c r="M42" i="20" s="1"/>
  <c r="L42" i="20"/>
  <c r="F28" i="25"/>
  <c r="M59" i="25"/>
  <c r="I93" i="25"/>
  <c r="M30" i="7"/>
  <c r="H16" i="7"/>
  <c r="J16" i="7" s="1"/>
  <c r="L16" i="7" s="1"/>
  <c r="M16" i="7" s="1"/>
  <c r="H21" i="7"/>
  <c r="J21" i="7" s="1"/>
  <c r="L21" i="7" s="1"/>
  <c r="M21" i="7" s="1"/>
  <c r="H14" i="7"/>
  <c r="J14" i="7" s="1"/>
  <c r="L14" i="7" s="1"/>
  <c r="M14" i="7" s="1"/>
  <c r="H19" i="7"/>
  <c r="J19" i="7" s="1"/>
  <c r="L19" i="7" s="1"/>
  <c r="M19" i="7" s="1"/>
  <c r="H24" i="7"/>
  <c r="J24" i="7" s="1"/>
  <c r="L24" i="7" s="1"/>
  <c r="M24" i="7" s="1"/>
  <c r="H12" i="7"/>
  <c r="J12" i="7" s="1"/>
  <c r="L12" i="7" s="1"/>
  <c r="M12" i="7" s="1"/>
  <c r="H15" i="7"/>
  <c r="J15" i="7" s="1"/>
  <c r="L15" i="7" s="1"/>
  <c r="M15" i="7" s="1"/>
  <c r="O30" i="7"/>
  <c r="H20" i="7"/>
  <c r="J20" i="7" s="1"/>
  <c r="L20" i="7" s="1"/>
  <c r="M20" i="7" s="1"/>
  <c r="H13" i="7"/>
  <c r="J13" i="7" s="1"/>
  <c r="L13" i="7" s="1"/>
  <c r="M13" i="7" s="1"/>
  <c r="H23" i="7"/>
  <c r="J23" i="7" s="1"/>
  <c r="L23" i="7" s="1"/>
  <c r="M23" i="7" s="1"/>
  <c r="H17" i="7"/>
  <c r="J17" i="7" s="1"/>
  <c r="L17" i="7" s="1"/>
  <c r="M17" i="7" s="1"/>
  <c r="H25" i="7"/>
  <c r="J25" i="7" s="1"/>
  <c r="H22" i="7"/>
  <c r="J22" i="7" s="1"/>
  <c r="L22" i="7" s="1"/>
  <c r="M22" i="7" s="1"/>
  <c r="H18" i="7"/>
  <c r="J18" i="7" s="1"/>
  <c r="L18" i="7" s="1"/>
  <c r="M18" i="7" s="1"/>
  <c r="K76" i="17"/>
  <c r="P44" i="17"/>
  <c r="J70" i="31"/>
  <c r="N70" i="31" s="1"/>
  <c r="I70" i="31"/>
  <c r="M70" i="31" s="1"/>
  <c r="K70" i="31"/>
  <c r="L36" i="14"/>
  <c r="P36" i="14" s="1"/>
  <c r="J36" i="14"/>
  <c r="I36" i="14"/>
  <c r="M36" i="14" s="1"/>
  <c r="P45" i="4"/>
  <c r="I19" i="10"/>
  <c r="I12" i="10"/>
  <c r="I16" i="10"/>
  <c r="I15" i="10"/>
  <c r="I20" i="10"/>
  <c r="I56" i="10"/>
  <c r="I13" i="10"/>
  <c r="M52" i="10"/>
  <c r="I17" i="10"/>
  <c r="I14" i="10"/>
  <c r="I18" i="10"/>
  <c r="O24" i="3"/>
  <c r="O33" i="5"/>
  <c r="F35" i="25"/>
  <c r="X29" i="32"/>
  <c r="X26" i="32"/>
  <c r="X23" i="32"/>
  <c r="X38" i="32"/>
  <c r="X25" i="32"/>
  <c r="X37" i="32"/>
  <c r="X33" i="32"/>
  <c r="X24" i="32"/>
  <c r="X20" i="32"/>
  <c r="X15" i="32"/>
  <c r="X32" i="32"/>
  <c r="X19" i="32"/>
  <c r="X14" i="32"/>
  <c r="X36" i="32"/>
  <c r="X34" i="32"/>
  <c r="X28" i="32"/>
  <c r="X17" i="32"/>
  <c r="X35" i="32"/>
  <c r="X16" i="32"/>
  <c r="X18" i="32"/>
  <c r="X27" i="32"/>
  <c r="P73" i="27"/>
  <c r="L31" i="13"/>
  <c r="J31" i="13"/>
  <c r="I31" i="13"/>
  <c r="M31" i="13" s="1"/>
  <c r="Q76" i="31"/>
  <c r="Q64" i="29"/>
  <c r="Q70" i="27"/>
  <c r="Q66" i="28"/>
  <c r="Q70" i="26"/>
  <c r="Q76" i="30"/>
  <c r="L31" i="21"/>
  <c r="P31" i="21" s="1"/>
  <c r="J31" i="21"/>
  <c r="I31" i="21"/>
  <c r="M31" i="21" s="1"/>
  <c r="V18" i="7"/>
  <c r="X18" i="7" s="1"/>
  <c r="V23" i="7"/>
  <c r="X23" i="7" s="1"/>
  <c r="V16" i="7"/>
  <c r="X16" i="7" s="1"/>
  <c r="V21" i="7"/>
  <c r="X21" i="7" s="1"/>
  <c r="Z21" i="7" s="1"/>
  <c r="AA21" i="7" s="1"/>
  <c r="V14" i="7"/>
  <c r="X14" i="7" s="1"/>
  <c r="Z14" i="7" s="1"/>
  <c r="AA14" i="7" s="1"/>
  <c r="V24" i="7"/>
  <c r="X24" i="7" s="1"/>
  <c r="V22" i="7"/>
  <c r="X22" i="7" s="1"/>
  <c r="Z22" i="7" s="1"/>
  <c r="AA22" i="7" s="1"/>
  <c r="V19" i="7"/>
  <c r="X19" i="7" s="1"/>
  <c r="V12" i="7"/>
  <c r="X12" i="7" s="1"/>
  <c r="V20" i="7"/>
  <c r="X20" i="7" s="1"/>
  <c r="V17" i="7"/>
  <c r="X17" i="7" s="1"/>
  <c r="V13" i="7"/>
  <c r="X13" i="7" s="1"/>
  <c r="Z13" i="7" s="1"/>
  <c r="AA13" i="7" s="1"/>
  <c r="P30" i="7"/>
  <c r="V25" i="7"/>
  <c r="X25" i="7" s="1"/>
  <c r="V15" i="7"/>
  <c r="X15" i="7" s="1"/>
  <c r="Z15" i="7" s="1"/>
  <c r="AA15" i="7" s="1"/>
  <c r="P30" i="10"/>
  <c r="O14" i="3"/>
  <c r="Q14" i="3" s="1"/>
  <c r="S14" i="3" s="1"/>
  <c r="T14" i="3" s="1"/>
  <c r="O37" i="19"/>
  <c r="O37" i="13"/>
  <c r="K57" i="22"/>
  <c r="I57" i="22"/>
  <c r="M57" i="22" s="1"/>
  <c r="J57" i="22"/>
  <c r="N57" i="22" s="1"/>
  <c r="F30" i="25"/>
  <c r="J45" i="23"/>
  <c r="M45" i="23"/>
  <c r="N78" i="25"/>
  <c r="Q56" i="31"/>
  <c r="Q56" i="30"/>
  <c r="Q44" i="29"/>
  <c r="Q50" i="27"/>
  <c r="Q46" i="28"/>
  <c r="Q50" i="26"/>
  <c r="P34" i="7"/>
  <c r="O45" i="15"/>
  <c r="I92" i="25"/>
  <c r="M58" i="25"/>
  <c r="J38" i="15"/>
  <c r="O38" i="15" s="1"/>
  <c r="I38" i="15"/>
  <c r="M38" i="15" s="1"/>
  <c r="L38" i="15"/>
  <c r="H59" i="21"/>
  <c r="H60" i="21"/>
  <c r="L27" i="21"/>
  <c r="J27" i="21"/>
  <c r="I27" i="21"/>
  <c r="M31" i="5"/>
  <c r="I61" i="5"/>
  <c r="O31" i="5"/>
  <c r="P32" i="19"/>
  <c r="P30" i="6"/>
  <c r="V20" i="6"/>
  <c r="V25" i="6"/>
  <c r="V13" i="6"/>
  <c r="V18" i="6"/>
  <c r="V23" i="6"/>
  <c r="X23" i="6" s="1"/>
  <c r="V16" i="6"/>
  <c r="X16" i="6" s="1"/>
  <c r="Z16" i="6" s="1"/>
  <c r="AA16" i="6" s="1"/>
  <c r="V19" i="6"/>
  <c r="X19" i="6" s="1"/>
  <c r="Z19" i="6" s="1"/>
  <c r="AA19" i="6" s="1"/>
  <c r="V17" i="6"/>
  <c r="X17" i="6" s="1"/>
  <c r="Z17" i="6" s="1"/>
  <c r="AA17" i="6" s="1"/>
  <c r="V15" i="6"/>
  <c r="X15" i="6" s="1"/>
  <c r="Z15" i="6" s="1"/>
  <c r="AA15" i="6" s="1"/>
  <c r="V21" i="6"/>
  <c r="X21" i="6" s="1"/>
  <c r="V22" i="6"/>
  <c r="V24" i="6"/>
  <c r="V14" i="6"/>
  <c r="V12" i="6"/>
  <c r="P44" i="10"/>
  <c r="H12" i="2"/>
  <c r="J12" i="2" s="1"/>
  <c r="L12" i="2" s="1"/>
  <c r="M12" i="2" s="1"/>
  <c r="P47" i="11"/>
  <c r="P43" i="33"/>
  <c r="J28" i="33"/>
  <c r="J25" i="33"/>
  <c r="J27" i="33"/>
  <c r="J26" i="33"/>
  <c r="J16" i="33"/>
  <c r="J36" i="33"/>
  <c r="J35" i="33"/>
  <c r="J20" i="33"/>
  <c r="J34" i="33"/>
  <c r="J18" i="33"/>
  <c r="J24" i="33"/>
  <c r="J15" i="33"/>
  <c r="J23" i="33"/>
  <c r="J31" i="33"/>
  <c r="J33" i="33"/>
  <c r="J17" i="33"/>
  <c r="J19" i="33"/>
  <c r="J32" i="33"/>
  <c r="F29" i="25"/>
  <c r="K87" i="16"/>
  <c r="N87" i="16"/>
  <c r="J93" i="16"/>
  <c r="P71" i="26"/>
  <c r="I52" i="20"/>
  <c r="M23" i="20"/>
  <c r="H19" i="9"/>
  <c r="J19" i="9" s="1"/>
  <c r="L19" i="9" s="1"/>
  <c r="M19" i="9" s="1"/>
  <c r="P32" i="20"/>
  <c r="I45" i="12"/>
  <c r="M45" i="12" s="1"/>
  <c r="J45" i="12"/>
  <c r="O45" i="12" s="1"/>
  <c r="L45" i="12"/>
  <c r="O32" i="9"/>
  <c r="P55" i="2"/>
  <c r="C64" i="31"/>
  <c r="C64" i="30"/>
  <c r="C58" i="26"/>
  <c r="C54" i="28"/>
  <c r="C58" i="27"/>
  <c r="C52" i="29"/>
  <c r="P37" i="8"/>
  <c r="M59" i="24"/>
  <c r="I93" i="24"/>
  <c r="J43" i="23"/>
  <c r="M43" i="23"/>
  <c r="H23" i="5"/>
  <c r="P74" i="34"/>
  <c r="K86" i="34"/>
  <c r="Q37" i="28"/>
  <c r="F48" i="25"/>
  <c r="Q28" i="28"/>
  <c r="E33" i="25"/>
  <c r="G33" i="25" s="1"/>
  <c r="E41" i="25"/>
  <c r="E32" i="25"/>
  <c r="G32" i="25" s="1"/>
  <c r="E23" i="25"/>
  <c r="G23" i="25" s="1"/>
  <c r="E25" i="25"/>
  <c r="G25" i="25" s="1"/>
  <c r="H47" i="1" s="1"/>
  <c r="E34" i="25"/>
  <c r="E44" i="25"/>
  <c r="E51" i="25"/>
  <c r="G51" i="25" s="1"/>
  <c r="H49" i="1" s="1"/>
  <c r="E16" i="25"/>
  <c r="G16" i="25" s="1"/>
  <c r="E38" i="25"/>
  <c r="E42" i="25"/>
  <c r="G42" i="25" s="1"/>
  <c r="E19" i="25"/>
  <c r="E24" i="25"/>
  <c r="Q16" i="28"/>
  <c r="N71" i="27"/>
  <c r="J78" i="27"/>
  <c r="J79" i="16"/>
  <c r="I79" i="16"/>
  <c r="M79" i="16" s="1"/>
  <c r="P71" i="27"/>
  <c r="L48" i="19"/>
  <c r="P48" i="19" s="1"/>
  <c r="J48" i="19"/>
  <c r="I48" i="19"/>
  <c r="M48" i="19" s="1"/>
  <c r="E17" i="19"/>
  <c r="E22" i="19"/>
  <c r="E19" i="19"/>
  <c r="E16" i="19"/>
  <c r="E13" i="19"/>
  <c r="E21" i="19"/>
  <c r="E20" i="19"/>
  <c r="E14" i="19"/>
  <c r="E15" i="19"/>
  <c r="E18" i="19"/>
  <c r="E23" i="19"/>
  <c r="W14" i="21"/>
  <c r="W17" i="21"/>
  <c r="W18" i="21"/>
  <c r="W13" i="21"/>
  <c r="W15" i="21"/>
  <c r="W19" i="21"/>
  <c r="W16" i="21"/>
  <c r="L38" i="21"/>
  <c r="J38" i="21"/>
  <c r="O38" i="21" s="1"/>
  <c r="I38" i="21"/>
  <c r="M38" i="21" s="1"/>
  <c r="I66" i="16"/>
  <c r="M66" i="16" s="1"/>
  <c r="J66" i="16"/>
  <c r="J28" i="21"/>
  <c r="I28" i="21"/>
  <c r="M28" i="21" s="1"/>
  <c r="L28" i="21"/>
  <c r="P28" i="21" s="1"/>
  <c r="L43" i="21"/>
  <c r="P43" i="21" s="1"/>
  <c r="J43" i="21"/>
  <c r="I43" i="21"/>
  <c r="M43" i="21" s="1"/>
  <c r="O42" i="13"/>
  <c r="P42" i="13"/>
  <c r="J57" i="18"/>
  <c r="I57" i="18"/>
  <c r="M57" i="18" s="1"/>
  <c r="J48" i="17"/>
  <c r="I48" i="17"/>
  <c r="M48" i="17" s="1"/>
  <c r="P51" i="14"/>
  <c r="J70" i="16"/>
  <c r="I70" i="16"/>
  <c r="M70" i="16" s="1"/>
  <c r="L34" i="19"/>
  <c r="J34" i="19"/>
  <c r="O34" i="19" s="1"/>
  <c r="I34" i="19"/>
  <c r="M34" i="19" s="1"/>
  <c r="J47" i="22"/>
  <c r="K47" i="22"/>
  <c r="I47" i="22"/>
  <c r="M47" i="22" s="1"/>
  <c r="I58" i="18"/>
  <c r="M58" i="18" s="1"/>
  <c r="J58" i="18"/>
  <c r="P29" i="12"/>
  <c r="W25" i="6"/>
  <c r="W13" i="6"/>
  <c r="W18" i="6"/>
  <c r="L61" i="6"/>
  <c r="W23" i="6"/>
  <c r="W16" i="6"/>
  <c r="W21" i="6"/>
  <c r="W19" i="6"/>
  <c r="W17" i="6"/>
  <c r="W15" i="6"/>
  <c r="W22" i="6"/>
  <c r="W20" i="6"/>
  <c r="W24" i="6"/>
  <c r="W14" i="6"/>
  <c r="P57" i="6"/>
  <c r="W12" i="6"/>
  <c r="J51" i="24"/>
  <c r="O25" i="9"/>
  <c r="Q25" i="9" s="1"/>
  <c r="P41" i="12"/>
  <c r="O41" i="20"/>
  <c r="I60" i="22"/>
  <c r="M60" i="22" s="1"/>
  <c r="J60" i="22"/>
  <c r="N60" i="22" s="1"/>
  <c r="K60" i="22"/>
  <c r="P60" i="22" s="1"/>
  <c r="J55" i="22"/>
  <c r="K55" i="22"/>
  <c r="I55" i="22"/>
  <c r="M55" i="22" s="1"/>
  <c r="P72" i="11"/>
  <c r="O34" i="6"/>
  <c r="F24" i="4"/>
  <c r="P43" i="2"/>
  <c r="W17" i="5"/>
  <c r="N59" i="24"/>
  <c r="J93" i="24"/>
  <c r="P49" i="8"/>
  <c r="P40" i="4"/>
  <c r="I41" i="10"/>
  <c r="M41" i="10" s="1"/>
  <c r="L41" i="10"/>
  <c r="P41" i="10" s="1"/>
  <c r="J41" i="10"/>
  <c r="V14" i="5"/>
  <c r="P30" i="19"/>
  <c r="M43" i="8"/>
  <c r="O43" i="8"/>
  <c r="O23" i="5"/>
  <c r="O23" i="8"/>
  <c r="Q23" i="8" s="1"/>
  <c r="S23" i="8" s="1"/>
  <c r="T23" i="8" s="1"/>
  <c r="H15" i="5"/>
  <c r="J15" i="5" s="1"/>
  <c r="L15" i="5" s="1"/>
  <c r="M15" i="5" s="1"/>
  <c r="H13" i="2"/>
  <c r="J13" i="2" s="1"/>
  <c r="L13" i="2" s="1"/>
  <c r="M13" i="2" s="1"/>
  <c r="O35" i="9"/>
  <c r="O17" i="2"/>
  <c r="Q17" i="2" s="1"/>
  <c r="S17" i="2" s="1"/>
  <c r="T17" i="2" s="1"/>
  <c r="J66" i="17"/>
  <c r="I66" i="17"/>
  <c r="M66" i="17" s="1"/>
  <c r="O47" i="9"/>
  <c r="H19" i="2"/>
  <c r="J19" i="2" s="1"/>
  <c r="L19" i="2" s="1"/>
  <c r="M19" i="2" s="1"/>
  <c r="Q62" i="30"/>
  <c r="Q52" i="28"/>
  <c r="Q56" i="27"/>
  <c r="Q56" i="26"/>
  <c r="Q50" i="29"/>
  <c r="Q62" i="31"/>
  <c r="J33" i="13"/>
  <c r="I33" i="13"/>
  <c r="L33" i="13"/>
  <c r="J50" i="18"/>
  <c r="I50" i="18"/>
  <c r="M50" i="18" s="1"/>
  <c r="L52" i="23"/>
  <c r="P52" i="23" s="1"/>
  <c r="O52" i="23"/>
  <c r="I29" i="10"/>
  <c r="M29" i="10" s="1"/>
  <c r="L29" i="10"/>
  <c r="J29" i="10"/>
  <c r="O14" i="8"/>
  <c r="Q14" i="8" s="1"/>
  <c r="S14" i="8" s="1"/>
  <c r="T14" i="8" s="1"/>
  <c r="P48" i="5"/>
  <c r="O30" i="15"/>
  <c r="V25" i="2"/>
  <c r="X25" i="2" s="1"/>
  <c r="V23" i="2"/>
  <c r="X23" i="2" s="1"/>
  <c r="Q64" i="30"/>
  <c r="Q58" i="26"/>
  <c r="Q52" i="29"/>
  <c r="Q58" i="27"/>
  <c r="Q54" i="28"/>
  <c r="Q64" i="31"/>
  <c r="D12" i="10"/>
  <c r="F12" i="10" s="1"/>
  <c r="P22" i="9"/>
  <c r="F22" i="5"/>
  <c r="F21" i="5"/>
  <c r="O51" i="3"/>
  <c r="I16" i="9"/>
  <c r="I12" i="9"/>
  <c r="W17" i="20"/>
  <c r="W14" i="20"/>
  <c r="W18" i="20"/>
  <c r="W16" i="20"/>
  <c r="W13" i="20"/>
  <c r="W15" i="20"/>
  <c r="N58" i="17"/>
  <c r="K58" i="17"/>
  <c r="P58" i="17" s="1"/>
  <c r="P44" i="7"/>
  <c r="O38" i="9"/>
  <c r="P50" i="9"/>
  <c r="O37" i="5"/>
  <c r="J60" i="11"/>
  <c r="N60" i="11" s="1"/>
  <c r="K60" i="11"/>
  <c r="I60" i="11"/>
  <c r="M60" i="11" s="1"/>
  <c r="O35" i="3"/>
  <c r="O44" i="4"/>
  <c r="V13" i="4"/>
  <c r="O31" i="12"/>
  <c r="O19" i="4"/>
  <c r="O49" i="5"/>
  <c r="M69" i="29"/>
  <c r="I79" i="29"/>
  <c r="Q67" i="30"/>
  <c r="Q57" i="28"/>
  <c r="Q61" i="27"/>
  <c r="Q61" i="26"/>
  <c r="Q67" i="31"/>
  <c r="Q55" i="29"/>
  <c r="I81" i="16"/>
  <c r="M81" i="16" s="1"/>
  <c r="J81" i="16"/>
  <c r="P44" i="22"/>
  <c r="P63" i="22"/>
  <c r="J63" i="25"/>
  <c r="N63" i="25" s="1"/>
  <c r="I63" i="25"/>
  <c r="M63" i="25" s="1"/>
  <c r="K63" i="25"/>
  <c r="I47" i="10"/>
  <c r="M47" i="10" s="1"/>
  <c r="L47" i="10"/>
  <c r="J47" i="10"/>
  <c r="O37" i="7"/>
  <c r="M37" i="7"/>
  <c r="O53" i="14"/>
  <c r="N49" i="22"/>
  <c r="O38" i="10"/>
  <c r="M31" i="7"/>
  <c r="I60" i="7"/>
  <c r="J36" i="13"/>
  <c r="I36" i="13"/>
  <c r="M36" i="13" s="1"/>
  <c r="L36" i="13"/>
  <c r="P36" i="13" s="1"/>
  <c r="P53" i="11"/>
  <c r="X17" i="4"/>
  <c r="Z17" i="4" s="1"/>
  <c r="AA17" i="4" s="1"/>
  <c r="N72" i="34"/>
  <c r="M41" i="23"/>
  <c r="J41" i="23"/>
  <c r="K82" i="25"/>
  <c r="J82" i="25"/>
  <c r="I82" i="25"/>
  <c r="M82" i="25" s="1"/>
  <c r="P34" i="9"/>
  <c r="O34" i="9"/>
  <c r="K76" i="25"/>
  <c r="P76" i="25" s="1"/>
  <c r="J76" i="25"/>
  <c r="N76" i="25" s="1"/>
  <c r="I76" i="25"/>
  <c r="M76" i="25" s="1"/>
  <c r="M33" i="6"/>
  <c r="O33" i="6"/>
  <c r="Q66" i="31"/>
  <c r="Q66" i="30"/>
  <c r="Q60" i="27"/>
  <c r="Q60" i="26"/>
  <c r="Q54" i="29"/>
  <c r="Q56" i="28"/>
  <c r="P38" i="10"/>
  <c r="J60" i="7"/>
  <c r="O31" i="7"/>
  <c r="O15" i="7"/>
  <c r="Q15" i="7" s="1"/>
  <c r="S15" i="7" s="1"/>
  <c r="T15" i="7" s="1"/>
  <c r="O23" i="7"/>
  <c r="Q23" i="7" s="1"/>
  <c r="S23" i="7" s="1"/>
  <c r="T23" i="7" s="1"/>
  <c r="O19" i="7"/>
  <c r="Q19" i="7" s="1"/>
  <c r="S19" i="7" s="1"/>
  <c r="T19" i="7" s="1"/>
  <c r="O16" i="7"/>
  <c r="Q16" i="7" s="1"/>
  <c r="S16" i="7" s="1"/>
  <c r="T16" i="7" s="1"/>
  <c r="O24" i="7"/>
  <c r="Q24" i="7" s="1"/>
  <c r="O21" i="7"/>
  <c r="Q21" i="7" s="1"/>
  <c r="S21" i="7" s="1"/>
  <c r="T21" i="7" s="1"/>
  <c r="O18" i="7"/>
  <c r="Q18" i="7" s="1"/>
  <c r="S18" i="7" s="1"/>
  <c r="T18" i="7" s="1"/>
  <c r="O12" i="7"/>
  <c r="Q12" i="7" s="1"/>
  <c r="O14" i="7"/>
  <c r="Q14" i="7" s="1"/>
  <c r="P48" i="10"/>
  <c r="V23" i="8"/>
  <c r="X23" i="8" s="1"/>
  <c r="P32" i="5"/>
  <c r="J38" i="19"/>
  <c r="I38" i="19"/>
  <c r="M38" i="19" s="1"/>
  <c r="L38" i="19"/>
  <c r="P38" i="19" s="1"/>
  <c r="O25" i="4"/>
  <c r="Q25" i="4" s="1"/>
  <c r="M41" i="29"/>
  <c r="I76" i="29"/>
  <c r="N42" i="29"/>
  <c r="M28" i="19"/>
  <c r="I57" i="19"/>
  <c r="M43" i="22"/>
  <c r="C65" i="31"/>
  <c r="C65" i="30"/>
  <c r="C53" i="29"/>
  <c r="C55" i="28"/>
  <c r="C59" i="27"/>
  <c r="C59" i="26"/>
  <c r="I40" i="19"/>
  <c r="M40" i="19" s="1"/>
  <c r="L40" i="19"/>
  <c r="J40" i="19"/>
  <c r="O40" i="19" s="1"/>
  <c r="C62" i="30"/>
  <c r="C50" i="29"/>
  <c r="C56" i="26"/>
  <c r="C52" i="28"/>
  <c r="C62" i="31"/>
  <c r="C56" i="27"/>
  <c r="J80" i="16"/>
  <c r="I80" i="16"/>
  <c r="M80" i="16" s="1"/>
  <c r="L32" i="15"/>
  <c r="J32" i="15"/>
  <c r="I32" i="15"/>
  <c r="M32" i="15" s="1"/>
  <c r="W35" i="11"/>
  <c r="Y35" i="11" s="1"/>
  <c r="W24" i="11"/>
  <c r="Y24" i="11" s="1"/>
  <c r="W18" i="11"/>
  <c r="Y18" i="11" s="1"/>
  <c r="L33" i="20"/>
  <c r="J33" i="20"/>
  <c r="O33" i="20" s="1"/>
  <c r="I33" i="20"/>
  <c r="M33" i="20" s="1"/>
  <c r="O47" i="14"/>
  <c r="O23" i="4"/>
  <c r="Q23" i="4" s="1"/>
  <c r="S23" i="4" s="1"/>
  <c r="T23" i="4" s="1"/>
  <c r="P67" i="33"/>
  <c r="Q48" i="31"/>
  <c r="Q45" i="31"/>
  <c r="Q42" i="31"/>
  <c r="Q47" i="31"/>
  <c r="Q32" i="31"/>
  <c r="Q28" i="31"/>
  <c r="Q36" i="31"/>
  <c r="Q20" i="31"/>
  <c r="Q44" i="31"/>
  <c r="Q43" i="31"/>
  <c r="Q16" i="31"/>
  <c r="Q31" i="31"/>
  <c r="Q30" i="31"/>
  <c r="Q21" i="31"/>
  <c r="Q19" i="31"/>
  <c r="Q39" i="31"/>
  <c r="Q17" i="31"/>
  <c r="Q40" i="31"/>
  <c r="Q22" i="31"/>
  <c r="Q41" i="31"/>
  <c r="Q35" i="31"/>
  <c r="Q24" i="31"/>
  <c r="Q34" i="31"/>
  <c r="Q29" i="31"/>
  <c r="Q27" i="31"/>
  <c r="Q23" i="31"/>
  <c r="Q18" i="31"/>
  <c r="Q46" i="31"/>
  <c r="Q33" i="31"/>
  <c r="Q15" i="31"/>
  <c r="J92" i="25"/>
  <c r="N58" i="25"/>
  <c r="J75" i="28"/>
  <c r="N44" i="28"/>
  <c r="G78" i="22"/>
  <c r="O48" i="21"/>
  <c r="K61" i="22"/>
  <c r="P61" i="22" s="1"/>
  <c r="I61" i="22"/>
  <c r="M61" i="22" s="1"/>
  <c r="J61" i="22"/>
  <c r="I56" i="17"/>
  <c r="M56" i="17" s="1"/>
  <c r="J56" i="17"/>
  <c r="O22" i="7"/>
  <c r="Q22" i="7" s="1"/>
  <c r="S22" i="7" s="1"/>
  <c r="T22" i="7" s="1"/>
  <c r="O20" i="7"/>
  <c r="Q20" i="7" s="1"/>
  <c r="J76" i="16"/>
  <c r="I76" i="16"/>
  <c r="M76" i="16" s="1"/>
  <c r="P37" i="19"/>
  <c r="P44" i="34"/>
  <c r="K81" i="34"/>
  <c r="L32" i="21"/>
  <c r="I32" i="21"/>
  <c r="M32" i="21" s="1"/>
  <c r="J32" i="21"/>
  <c r="O32" i="21" s="1"/>
  <c r="M59" i="23"/>
  <c r="J59" i="23"/>
  <c r="Q63" i="31"/>
  <c r="Q53" i="28"/>
  <c r="Q51" i="29"/>
  <c r="Q57" i="27"/>
  <c r="Q57" i="26"/>
  <c r="Q63" i="30"/>
  <c r="Q58" i="30"/>
  <c r="Q52" i="26"/>
  <c r="Q58" i="31"/>
  <c r="Q48" i="28"/>
  <c r="Q52" i="27"/>
  <c r="Q46" i="29"/>
  <c r="O19" i="9"/>
  <c r="Q19" i="9" s="1"/>
  <c r="P32" i="8"/>
  <c r="V20" i="8"/>
  <c r="X20" i="8" s="1"/>
  <c r="Z20" i="8" s="1"/>
  <c r="AA20" i="8" s="1"/>
  <c r="V16" i="8"/>
  <c r="X16" i="8" s="1"/>
  <c r="J45" i="19"/>
  <c r="O45" i="19" s="1"/>
  <c r="L45" i="19"/>
  <c r="P45" i="19" s="1"/>
  <c r="I45" i="19"/>
  <c r="M45" i="19" s="1"/>
  <c r="F12" i="4"/>
  <c r="V24" i="5"/>
  <c r="O14" i="5"/>
  <c r="L35" i="21"/>
  <c r="P35" i="21" s="1"/>
  <c r="J35" i="21"/>
  <c r="I35" i="21"/>
  <c r="M35" i="21" s="1"/>
  <c r="I85" i="31"/>
  <c r="M54" i="31"/>
  <c r="F36" i="28"/>
  <c r="M55" i="19"/>
  <c r="I59" i="19"/>
  <c r="J50" i="22"/>
  <c r="K50" i="22"/>
  <c r="P50" i="22" s="1"/>
  <c r="I50" i="22"/>
  <c r="M50" i="22" s="1"/>
  <c r="I46" i="19"/>
  <c r="M46" i="19" s="1"/>
  <c r="L46" i="19"/>
  <c r="P46" i="19" s="1"/>
  <c r="J46" i="19"/>
  <c r="J21" i="24"/>
  <c r="I45" i="18"/>
  <c r="M45" i="18" s="1"/>
  <c r="J45" i="18"/>
  <c r="J75" i="16"/>
  <c r="I75" i="16"/>
  <c r="M75" i="16" s="1"/>
  <c r="O13" i="9"/>
  <c r="Q13" i="9" s="1"/>
  <c r="P47" i="3"/>
  <c r="N54" i="31"/>
  <c r="J85" i="31"/>
  <c r="M65" i="33"/>
  <c r="I73" i="33"/>
  <c r="M52" i="21"/>
  <c r="O52" i="21"/>
  <c r="Q73" i="31"/>
  <c r="Q61" i="29"/>
  <c r="Q63" i="28"/>
  <c r="Q73" i="30"/>
  <c r="Q67" i="26"/>
  <c r="Q67" i="27"/>
  <c r="P43" i="34"/>
  <c r="N43" i="34"/>
  <c r="J80" i="34"/>
  <c r="F37" i="34"/>
  <c r="N67" i="35"/>
  <c r="K73" i="33"/>
  <c r="I74" i="28"/>
  <c r="M43" i="28"/>
  <c r="N74" i="34"/>
  <c r="J86" i="34"/>
  <c r="F47" i="30"/>
  <c r="F44" i="30"/>
  <c r="F41" i="30"/>
  <c r="F24" i="30"/>
  <c r="F21" i="30"/>
  <c r="F18" i="30"/>
  <c r="F15" i="30"/>
  <c r="F42" i="30"/>
  <c r="F48" i="30"/>
  <c r="F46" i="30"/>
  <c r="F19" i="30"/>
  <c r="F45" i="30"/>
  <c r="F32" i="30"/>
  <c r="F36" i="30"/>
  <c r="F27" i="30"/>
  <c r="F23" i="30"/>
  <c r="F33" i="30"/>
  <c r="F20" i="30"/>
  <c r="F28" i="30"/>
  <c r="F29" i="30"/>
  <c r="F35" i="30"/>
  <c r="F40" i="30"/>
  <c r="F22" i="30"/>
  <c r="F30" i="30"/>
  <c r="F17" i="30"/>
  <c r="F16" i="30"/>
  <c r="F39" i="30"/>
  <c r="F31" i="30"/>
  <c r="F34" i="30"/>
  <c r="F43" i="30"/>
  <c r="I77" i="28"/>
  <c r="M71" i="28"/>
  <c r="N65" i="33"/>
  <c r="J73" i="33"/>
  <c r="X33" i="33"/>
  <c r="X19" i="33"/>
  <c r="X16" i="33"/>
  <c r="X32" i="33"/>
  <c r="X24" i="33"/>
  <c r="X25" i="33"/>
  <c r="X18" i="33"/>
  <c r="X31" i="33"/>
  <c r="X17" i="33"/>
  <c r="X35" i="33"/>
  <c r="X20" i="33"/>
  <c r="X36" i="33"/>
  <c r="X28" i="33"/>
  <c r="X23" i="33"/>
  <c r="X26" i="33"/>
  <c r="X27" i="33"/>
  <c r="X34" i="33"/>
  <c r="X15" i="33"/>
  <c r="I80" i="23"/>
  <c r="M61" i="24"/>
  <c r="M61" i="23"/>
  <c r="J61" i="23"/>
  <c r="J59" i="19"/>
  <c r="O55" i="19"/>
  <c r="P49" i="21"/>
  <c r="K56" i="22"/>
  <c r="P56" i="22" s="1"/>
  <c r="J56" i="22"/>
  <c r="I56" i="22"/>
  <c r="M56" i="22" s="1"/>
  <c r="Q49" i="29"/>
  <c r="Q61" i="31"/>
  <c r="Q51" i="28"/>
  <c r="Q61" i="30"/>
  <c r="Q55" i="27"/>
  <c r="Q55" i="26"/>
  <c r="F17" i="25"/>
  <c r="J57" i="12"/>
  <c r="O28" i="12"/>
  <c r="N43" i="18"/>
  <c r="K43" i="18"/>
  <c r="M87" i="25"/>
  <c r="I96" i="25"/>
  <c r="F35" i="17"/>
  <c r="F33" i="17"/>
  <c r="F18" i="17"/>
  <c r="F16" i="17"/>
  <c r="F29" i="17"/>
  <c r="F14" i="17"/>
  <c r="F38" i="17"/>
  <c r="F32" i="17"/>
  <c r="F17" i="17"/>
  <c r="F37" i="17"/>
  <c r="F36" i="17"/>
  <c r="F24" i="17"/>
  <c r="F34" i="17"/>
  <c r="F26" i="17"/>
  <c r="F19" i="17"/>
  <c r="F15" i="17"/>
  <c r="F27" i="17"/>
  <c r="F20" i="17"/>
  <c r="F28" i="17"/>
  <c r="F25" i="17"/>
  <c r="F23" i="17"/>
  <c r="P70" i="28"/>
  <c r="F16" i="25"/>
  <c r="I51" i="18"/>
  <c r="M51" i="18" s="1"/>
  <c r="J51" i="18"/>
  <c r="I75" i="25"/>
  <c r="M75" i="25" s="1"/>
  <c r="K75" i="25"/>
  <c r="J75" i="25"/>
  <c r="N75" i="25" s="1"/>
  <c r="L31" i="19"/>
  <c r="J31" i="19"/>
  <c r="I31" i="19"/>
  <c r="H58" i="19"/>
  <c r="O54" i="19"/>
  <c r="J61" i="16"/>
  <c r="I61" i="16"/>
  <c r="G92" i="16"/>
  <c r="I39" i="13"/>
  <c r="M39" i="13" s="1"/>
  <c r="L39" i="13"/>
  <c r="J39" i="13"/>
  <c r="O39" i="13" s="1"/>
  <c r="J29" i="20"/>
  <c r="L29" i="20"/>
  <c r="I29" i="20"/>
  <c r="M29" i="20" s="1"/>
  <c r="L29" i="21"/>
  <c r="P29" i="21" s="1"/>
  <c r="J29" i="21"/>
  <c r="I29" i="21"/>
  <c r="M29" i="21" s="1"/>
  <c r="C57" i="30"/>
  <c r="C51" i="27"/>
  <c r="C57" i="31"/>
  <c r="C51" i="26"/>
  <c r="C45" i="29"/>
  <c r="C47" i="28"/>
  <c r="O43" i="14"/>
  <c r="J59" i="22"/>
  <c r="I59" i="22"/>
  <c r="M59" i="22" s="1"/>
  <c r="K59" i="22"/>
  <c r="O20" i="9"/>
  <c r="Q20" i="9" s="1"/>
  <c r="O43" i="19"/>
  <c r="M57" i="6"/>
  <c r="I23" i="6"/>
  <c r="I21" i="6"/>
  <c r="I16" i="6"/>
  <c r="I14" i="6"/>
  <c r="I61" i="6"/>
  <c r="I19" i="6"/>
  <c r="I25" i="6"/>
  <c r="I12" i="6"/>
  <c r="I13" i="6"/>
  <c r="I22" i="6"/>
  <c r="I18" i="6"/>
  <c r="I15" i="6"/>
  <c r="I20" i="6"/>
  <c r="I24" i="6"/>
  <c r="O57" i="6"/>
  <c r="I17" i="6"/>
  <c r="H58" i="13"/>
  <c r="P13" i="21"/>
  <c r="P15" i="21"/>
  <c r="P19" i="21"/>
  <c r="P14" i="21"/>
  <c r="P16" i="21"/>
  <c r="P17" i="21"/>
  <c r="P18" i="21"/>
  <c r="P41" i="20"/>
  <c r="W20" i="15"/>
  <c r="W17" i="15"/>
  <c r="W19" i="15"/>
  <c r="W13" i="15"/>
  <c r="W21" i="15"/>
  <c r="W18" i="15"/>
  <c r="W12" i="15"/>
  <c r="W14" i="15"/>
  <c r="W16" i="15"/>
  <c r="W15" i="15"/>
  <c r="W22" i="15"/>
  <c r="I40" i="20"/>
  <c r="M40" i="20" s="1"/>
  <c r="J40" i="20"/>
  <c r="L40" i="20"/>
  <c r="P40" i="20" s="1"/>
  <c r="J57" i="17"/>
  <c r="I57" i="17"/>
  <c r="M57" i="17" s="1"/>
  <c r="H18" i="6"/>
  <c r="H23" i="6"/>
  <c r="J23" i="6" s="1"/>
  <c r="L23" i="6" s="1"/>
  <c r="M23" i="6" s="1"/>
  <c r="H16" i="6"/>
  <c r="J16" i="6" s="1"/>
  <c r="L16" i="6" s="1"/>
  <c r="M16" i="6" s="1"/>
  <c r="M30" i="6"/>
  <c r="H21" i="6"/>
  <c r="J21" i="6" s="1"/>
  <c r="L21" i="6" s="1"/>
  <c r="M21" i="6" s="1"/>
  <c r="H14" i="6"/>
  <c r="H25" i="6"/>
  <c r="H12" i="6"/>
  <c r="H22" i="6"/>
  <c r="H15" i="6"/>
  <c r="J15" i="6" s="1"/>
  <c r="L15" i="6" s="1"/>
  <c r="M15" i="6" s="1"/>
  <c r="H20" i="6"/>
  <c r="J20" i="6" s="1"/>
  <c r="L20" i="6" s="1"/>
  <c r="M20" i="6" s="1"/>
  <c r="H13" i="6"/>
  <c r="J13" i="6" s="1"/>
  <c r="L13" i="6" s="1"/>
  <c r="M13" i="6" s="1"/>
  <c r="H24" i="6"/>
  <c r="J24" i="6" s="1"/>
  <c r="L24" i="6" s="1"/>
  <c r="M24" i="6" s="1"/>
  <c r="H17" i="6"/>
  <c r="J17" i="6" s="1"/>
  <c r="L17" i="6" s="1"/>
  <c r="M17" i="6" s="1"/>
  <c r="H19" i="6"/>
  <c r="F14" i="4"/>
  <c r="M31" i="2"/>
  <c r="I60" i="2"/>
  <c r="H17" i="2"/>
  <c r="J17" i="2" s="1"/>
  <c r="L17" i="2" s="1"/>
  <c r="M17" i="2" s="1"/>
  <c r="H22" i="2"/>
  <c r="J22" i="2" s="1"/>
  <c r="L22" i="2" s="1"/>
  <c r="M22" i="2" s="1"/>
  <c r="O48" i="14"/>
  <c r="P46" i="22"/>
  <c r="O56" i="9"/>
  <c r="W24" i="5"/>
  <c r="P59" i="24"/>
  <c r="K93" i="24"/>
  <c r="O44" i="8"/>
  <c r="C66" i="31"/>
  <c r="C66" i="30"/>
  <c r="C60" i="26"/>
  <c r="C54" i="29"/>
  <c r="C60" i="27"/>
  <c r="C56" i="28"/>
  <c r="J61" i="11"/>
  <c r="I61" i="11"/>
  <c r="M61" i="11" s="1"/>
  <c r="K61" i="11"/>
  <c r="V21" i="5"/>
  <c r="X21" i="5" s="1"/>
  <c r="Q58" i="35"/>
  <c r="Q63" i="34"/>
  <c r="Q60" i="32"/>
  <c r="Q58" i="33"/>
  <c r="O13" i="5"/>
  <c r="F19" i="8"/>
  <c r="P31" i="7"/>
  <c r="L60" i="7"/>
  <c r="H22" i="5"/>
  <c r="J22" i="5" s="1"/>
  <c r="L22" i="5" s="1"/>
  <c r="M22" i="5" s="1"/>
  <c r="O39" i="3"/>
  <c r="O21" i="2"/>
  <c r="Q21" i="2" s="1"/>
  <c r="S21" i="2" s="1"/>
  <c r="T21" i="2" s="1"/>
  <c r="I63" i="18"/>
  <c r="M63" i="18" s="1"/>
  <c r="J63" i="18"/>
  <c r="H14" i="2"/>
  <c r="J14" i="2" s="1"/>
  <c r="L14" i="2" s="1"/>
  <c r="M14" i="2" s="1"/>
  <c r="N78" i="16"/>
  <c r="K78" i="16"/>
  <c r="P78" i="16" s="1"/>
  <c r="I50" i="17"/>
  <c r="M50" i="17" s="1"/>
  <c r="J50" i="17"/>
  <c r="J61" i="9"/>
  <c r="J53" i="17"/>
  <c r="I53" i="17"/>
  <c r="M53" i="17" s="1"/>
  <c r="V19" i="8"/>
  <c r="X19" i="8" s="1"/>
  <c r="Z19" i="8" s="1"/>
  <c r="AA19" i="8" s="1"/>
  <c r="O37" i="2"/>
  <c r="K49" i="11"/>
  <c r="P49" i="11" s="1"/>
  <c r="J49" i="11"/>
  <c r="I49" i="11"/>
  <c r="M49" i="11" s="1"/>
  <c r="O20" i="8"/>
  <c r="Q20" i="8" s="1"/>
  <c r="S20" i="8" s="1"/>
  <c r="T20" i="8" s="1"/>
  <c r="W14" i="3"/>
  <c r="W19" i="3"/>
  <c r="W24" i="3"/>
  <c r="W12" i="3"/>
  <c r="X12" i="3" s="1"/>
  <c r="W17" i="3"/>
  <c r="W22" i="3"/>
  <c r="P57" i="3"/>
  <c r="W16" i="3"/>
  <c r="W18" i="3"/>
  <c r="W20" i="3"/>
  <c r="L61" i="3"/>
  <c r="W25" i="3"/>
  <c r="W23" i="3"/>
  <c r="W21" i="3"/>
  <c r="W15" i="3"/>
  <c r="W13" i="3"/>
  <c r="J60" i="3"/>
  <c r="V18" i="2"/>
  <c r="X18" i="2" s="1"/>
  <c r="Z18" i="2" s="1"/>
  <c r="AA18" i="2" s="1"/>
  <c r="L38" i="13"/>
  <c r="J38" i="13"/>
  <c r="I38" i="13"/>
  <c r="M38" i="13" s="1"/>
  <c r="J70" i="25"/>
  <c r="N70" i="25" s="1"/>
  <c r="K70" i="25"/>
  <c r="P70" i="25" s="1"/>
  <c r="I70" i="25"/>
  <c r="M70" i="25" s="1"/>
  <c r="P52" i="10"/>
  <c r="D18" i="10"/>
  <c r="F18" i="10" s="1"/>
  <c r="P17" i="9"/>
  <c r="O38" i="6"/>
  <c r="P55" i="8"/>
  <c r="F12" i="5"/>
  <c r="F16" i="5"/>
  <c r="I23" i="9"/>
  <c r="N45" i="11"/>
  <c r="J77" i="11"/>
  <c r="P30" i="14"/>
  <c r="I40" i="10"/>
  <c r="M40" i="10" s="1"/>
  <c r="L40" i="10"/>
  <c r="P40" i="10" s="1"/>
  <c r="J40" i="10"/>
  <c r="V23" i="4"/>
  <c r="X23" i="4" s="1"/>
  <c r="O12" i="4"/>
  <c r="Q12" i="4" s="1"/>
  <c r="I64" i="18"/>
  <c r="M64" i="18" s="1"/>
  <c r="J64" i="18"/>
  <c r="E21" i="12"/>
  <c r="E14" i="12"/>
  <c r="E17" i="12"/>
  <c r="E15" i="12"/>
  <c r="E16" i="12"/>
  <c r="E13" i="12"/>
  <c r="E22" i="12"/>
  <c r="E19" i="12"/>
  <c r="E20" i="12"/>
  <c r="E18" i="12"/>
  <c r="E23" i="12"/>
  <c r="M31" i="4"/>
  <c r="I61" i="4"/>
  <c r="M37" i="6"/>
  <c r="O37" i="6"/>
  <c r="I22" i="4"/>
  <c r="I20" i="4"/>
  <c r="I62" i="4"/>
  <c r="I15" i="4"/>
  <c r="I25" i="4"/>
  <c r="I13" i="4"/>
  <c r="I18" i="4"/>
  <c r="I17" i="4"/>
  <c r="I19" i="4"/>
  <c r="M57" i="4"/>
  <c r="I21" i="4"/>
  <c r="I23" i="4"/>
  <c r="I24" i="4"/>
  <c r="I16" i="4"/>
  <c r="I12" i="4"/>
  <c r="I14" i="4"/>
  <c r="N68" i="33"/>
  <c r="N69" i="29"/>
  <c r="J79" i="29"/>
  <c r="P44" i="28"/>
  <c r="K75" i="28"/>
  <c r="O69" i="23"/>
  <c r="L69" i="23"/>
  <c r="P69" i="23" s="1"/>
  <c r="J67" i="11"/>
  <c r="I67" i="11"/>
  <c r="M67" i="11" s="1"/>
  <c r="K67" i="11"/>
  <c r="P67" i="11" s="1"/>
  <c r="M50" i="3"/>
  <c r="O50" i="3"/>
  <c r="L33" i="12"/>
  <c r="J33" i="12"/>
  <c r="I33" i="12"/>
  <c r="M33" i="12" s="1"/>
  <c r="L23" i="2"/>
  <c r="M23" i="2" s="1"/>
  <c r="X19" i="4"/>
  <c r="P69" i="29"/>
  <c r="K79" i="29"/>
  <c r="J63" i="16"/>
  <c r="I63" i="16"/>
  <c r="M63" i="16" s="1"/>
  <c r="O46" i="3"/>
  <c r="M46" i="3"/>
  <c r="O34" i="7"/>
  <c r="O19" i="6"/>
  <c r="Q19" i="6" s="1"/>
  <c r="O30" i="6"/>
  <c r="O24" i="6"/>
  <c r="Q24" i="6" s="1"/>
  <c r="O12" i="6"/>
  <c r="Q12" i="6" s="1"/>
  <c r="O17" i="6"/>
  <c r="Q17" i="6" s="1"/>
  <c r="O22" i="6"/>
  <c r="Q22" i="6" s="1"/>
  <c r="O15" i="6"/>
  <c r="Q15" i="6" s="1"/>
  <c r="S15" i="6" s="1"/>
  <c r="T15" i="6" s="1"/>
  <c r="O13" i="6"/>
  <c r="Q13" i="6" s="1"/>
  <c r="S13" i="6" s="1"/>
  <c r="T13" i="6" s="1"/>
  <c r="O18" i="6"/>
  <c r="Q18" i="6" s="1"/>
  <c r="O16" i="6"/>
  <c r="Q16" i="6" s="1"/>
  <c r="O14" i="6"/>
  <c r="Q14" i="6" s="1"/>
  <c r="O20" i="6"/>
  <c r="Q20" i="6" s="1"/>
  <c r="O25" i="6"/>
  <c r="Q25" i="6" s="1"/>
  <c r="O23" i="6"/>
  <c r="Q23" i="6" s="1"/>
  <c r="S23" i="6" s="1"/>
  <c r="T23" i="6" s="1"/>
  <c r="O21" i="6"/>
  <c r="Q21" i="6" s="1"/>
  <c r="F44" i="25"/>
  <c r="M31" i="9"/>
  <c r="I61" i="9"/>
  <c r="P59" i="11"/>
  <c r="P34" i="5"/>
  <c r="M44" i="34"/>
  <c r="I81" i="34"/>
  <c r="N43" i="28"/>
  <c r="P43" i="28"/>
  <c r="J74" i="28"/>
  <c r="Q34" i="28"/>
  <c r="Q33" i="28"/>
  <c r="Q38" i="28"/>
  <c r="Q24" i="28"/>
  <c r="Q25" i="28"/>
  <c r="Q15" i="28"/>
  <c r="Q27" i="28"/>
  <c r="Q23" i="28"/>
  <c r="Q36" i="28"/>
  <c r="Q35" i="28"/>
  <c r="N43" i="22"/>
  <c r="H57" i="15"/>
  <c r="L45" i="20"/>
  <c r="P45" i="20" s="1"/>
  <c r="I45" i="20"/>
  <c r="M45" i="20" s="1"/>
  <c r="J45" i="20"/>
  <c r="O45" i="20" s="1"/>
  <c r="J51" i="17"/>
  <c r="I51" i="17"/>
  <c r="M51" i="17" s="1"/>
  <c r="M58" i="9"/>
  <c r="H25" i="9"/>
  <c r="J25" i="9" s="1"/>
  <c r="H14" i="9"/>
  <c r="J14" i="9" s="1"/>
  <c r="L14" i="9" s="1"/>
  <c r="M14" i="9" s="1"/>
  <c r="H18" i="9"/>
  <c r="H23" i="9"/>
  <c r="H16" i="9"/>
  <c r="J16" i="9" s="1"/>
  <c r="L16" i="9" s="1"/>
  <c r="M16" i="9" s="1"/>
  <c r="H13" i="9"/>
  <c r="J13" i="9" s="1"/>
  <c r="L13" i="9" s="1"/>
  <c r="M13" i="9" s="1"/>
  <c r="H17" i="9"/>
  <c r="J17" i="9" s="1"/>
  <c r="L17" i="9" s="1"/>
  <c r="M17" i="9" s="1"/>
  <c r="P31" i="9"/>
  <c r="L61" i="9"/>
  <c r="M42" i="29"/>
  <c r="N49" i="27"/>
  <c r="J43" i="24"/>
  <c r="J24" i="24"/>
  <c r="J41" i="24"/>
  <c r="J38" i="24"/>
  <c r="J20" i="24"/>
  <c r="J15" i="24"/>
  <c r="J28" i="24"/>
  <c r="J47" i="24"/>
  <c r="J34" i="24"/>
  <c r="J23" i="24"/>
  <c r="J32" i="24"/>
  <c r="J35" i="24"/>
  <c r="Q14" i="28"/>
  <c r="M87" i="16"/>
  <c r="I93" i="16"/>
  <c r="L34" i="14"/>
  <c r="J34" i="14"/>
  <c r="I34" i="14"/>
  <c r="M34" i="14" s="1"/>
  <c r="L43" i="15"/>
  <c r="P43" i="15" s="1"/>
  <c r="J43" i="15"/>
  <c r="I43" i="15"/>
  <c r="M43" i="15" s="1"/>
  <c r="H24" i="9"/>
  <c r="J24" i="9" s="1"/>
  <c r="L24" i="9" s="1"/>
  <c r="M24" i="9" s="1"/>
  <c r="W22" i="5"/>
  <c r="N65" i="11"/>
  <c r="I16" i="21"/>
  <c r="I14" i="21"/>
  <c r="I19" i="21"/>
  <c r="I17" i="21"/>
  <c r="I13" i="21"/>
  <c r="I15" i="21"/>
  <c r="I18" i="21"/>
  <c r="V21" i="2"/>
  <c r="X21" i="2" s="1"/>
  <c r="Z21" i="2" s="1"/>
  <c r="AA21" i="2" s="1"/>
  <c r="D19" i="10"/>
  <c r="F19" i="10" s="1"/>
  <c r="M74" i="34"/>
  <c r="I86" i="34"/>
  <c r="J17" i="24"/>
  <c r="F47" i="25"/>
  <c r="J40" i="15"/>
  <c r="I40" i="15"/>
  <c r="M40" i="15" s="1"/>
  <c r="L40" i="15"/>
  <c r="P40" i="15" s="1"/>
  <c r="J47" i="21"/>
  <c r="I47" i="21"/>
  <c r="M47" i="21" s="1"/>
  <c r="L47" i="21"/>
  <c r="J64" i="25"/>
  <c r="I64" i="25"/>
  <c r="M64" i="25" s="1"/>
  <c r="K64" i="25"/>
  <c r="P64" i="25" s="1"/>
  <c r="H15" i="9"/>
  <c r="J15" i="9" s="1"/>
  <c r="L15" i="9" s="1"/>
  <c r="M15" i="9" s="1"/>
  <c r="M29" i="13"/>
  <c r="O29" i="13"/>
  <c r="C74" i="31"/>
  <c r="C74" i="30"/>
  <c r="C68" i="27"/>
  <c r="C68" i="26"/>
  <c r="C64" i="28"/>
  <c r="C62" i="29"/>
  <c r="I40" i="14"/>
  <c r="M40" i="14" s="1"/>
  <c r="L40" i="14"/>
  <c r="J40" i="14"/>
  <c r="O40" i="14" s="1"/>
  <c r="F19" i="4"/>
  <c r="O43" i="2"/>
  <c r="P27" i="10"/>
  <c r="C71" i="31"/>
  <c r="C59" i="29"/>
  <c r="C71" i="30"/>
  <c r="C61" i="28"/>
  <c r="C65" i="27"/>
  <c r="C65" i="26"/>
  <c r="I78" i="27"/>
  <c r="M48" i="27"/>
  <c r="K77" i="27"/>
  <c r="P47" i="27"/>
  <c r="N49" i="26"/>
  <c r="Q19" i="28"/>
  <c r="J49" i="24"/>
  <c r="N61" i="24"/>
  <c r="J37" i="20"/>
  <c r="O37" i="20" s="1"/>
  <c r="L37" i="20"/>
  <c r="I37" i="20"/>
  <c r="M37" i="20" s="1"/>
  <c r="P53" i="15"/>
  <c r="O53" i="15"/>
  <c r="J65" i="17"/>
  <c r="I65" i="17"/>
  <c r="M65" i="17" s="1"/>
  <c r="J18" i="24"/>
  <c r="L59" i="19"/>
  <c r="P55" i="19"/>
  <c r="O49" i="21"/>
  <c r="J19" i="24"/>
  <c r="L41" i="19"/>
  <c r="J41" i="19"/>
  <c r="O41" i="19" s="1"/>
  <c r="I41" i="19"/>
  <c r="M41" i="19" s="1"/>
  <c r="J48" i="23"/>
  <c r="M48" i="23"/>
  <c r="M29" i="19"/>
  <c r="O51" i="13"/>
  <c r="P51" i="13"/>
  <c r="O65" i="23"/>
  <c r="L65" i="23"/>
  <c r="P65" i="23" s="1"/>
  <c r="I49" i="15"/>
  <c r="M49" i="15" s="1"/>
  <c r="L49" i="15"/>
  <c r="J49" i="15"/>
  <c r="O49" i="15" s="1"/>
  <c r="J60" i="17"/>
  <c r="I60" i="17"/>
  <c r="M60" i="17" s="1"/>
  <c r="I62" i="16"/>
  <c r="M62" i="16" s="1"/>
  <c r="J62" i="16"/>
  <c r="P59" i="25"/>
  <c r="K93" i="25"/>
  <c r="J53" i="18"/>
  <c r="I53" i="18"/>
  <c r="M53" i="18" s="1"/>
  <c r="M47" i="23"/>
  <c r="J47" i="23"/>
  <c r="P29" i="14"/>
  <c r="J61" i="17"/>
  <c r="I61" i="17"/>
  <c r="M61" i="17" s="1"/>
  <c r="M73" i="11"/>
  <c r="I79" i="11"/>
  <c r="O24" i="9"/>
  <c r="M53" i="6"/>
  <c r="O53" i="6"/>
  <c r="F14" i="8"/>
  <c r="J40" i="27"/>
  <c r="J38" i="27"/>
  <c r="J29" i="27"/>
  <c r="J36" i="27"/>
  <c r="J27" i="27"/>
  <c r="J16" i="27"/>
  <c r="J42" i="27"/>
  <c r="J41" i="27"/>
  <c r="J37" i="27"/>
  <c r="J32" i="27"/>
  <c r="J22" i="27"/>
  <c r="J15" i="27"/>
  <c r="J31" i="27"/>
  <c r="J25" i="27"/>
  <c r="J21" i="27"/>
  <c r="J18" i="27"/>
  <c r="J26" i="27"/>
  <c r="J17" i="27"/>
  <c r="J28" i="27"/>
  <c r="J20" i="27"/>
  <c r="J19" i="27"/>
  <c r="J30" i="27"/>
  <c r="J39" i="27"/>
  <c r="J35" i="27"/>
  <c r="P42" i="15"/>
  <c r="I62" i="17"/>
  <c r="M62" i="17" s="1"/>
  <c r="J62" i="17"/>
  <c r="J35" i="20"/>
  <c r="L35" i="20"/>
  <c r="I35" i="20"/>
  <c r="M35" i="20" s="1"/>
  <c r="O51" i="10"/>
  <c r="F19" i="3"/>
  <c r="C60" i="30"/>
  <c r="C60" i="31"/>
  <c r="C50" i="28"/>
  <c r="C48" i="29"/>
  <c r="C54" i="27"/>
  <c r="C54" i="26"/>
  <c r="P56" i="9"/>
  <c r="W12" i="5"/>
  <c r="W16" i="14"/>
  <c r="W21" i="14"/>
  <c r="W14" i="14"/>
  <c r="W15" i="14"/>
  <c r="W20" i="14"/>
  <c r="W18" i="14"/>
  <c r="W22" i="14"/>
  <c r="W17" i="14"/>
  <c r="W19" i="14"/>
  <c r="W13" i="14"/>
  <c r="W23" i="14"/>
  <c r="O55" i="3"/>
  <c r="L61" i="4"/>
  <c r="J64" i="27"/>
  <c r="N64" i="27" s="1"/>
  <c r="I64" i="27"/>
  <c r="M64" i="27" s="1"/>
  <c r="K64" i="27"/>
  <c r="O25" i="5"/>
  <c r="H15" i="2"/>
  <c r="J15" i="2" s="1"/>
  <c r="L15" i="2" s="1"/>
  <c r="M15" i="2" s="1"/>
  <c r="H12" i="5"/>
  <c r="J12" i="5" s="1"/>
  <c r="P39" i="3"/>
  <c r="O46" i="12"/>
  <c r="C46" i="29"/>
  <c r="C58" i="31"/>
  <c r="C48" i="28"/>
  <c r="C52" i="26"/>
  <c r="C52" i="27"/>
  <c r="C58" i="30"/>
  <c r="L49" i="13"/>
  <c r="P49" i="13" s="1"/>
  <c r="J49" i="13"/>
  <c r="I49" i="13"/>
  <c r="M49" i="13" s="1"/>
  <c r="H21" i="2"/>
  <c r="J21" i="2" s="1"/>
  <c r="L21" i="2" s="1"/>
  <c r="M21" i="2" s="1"/>
  <c r="I30" i="21"/>
  <c r="M30" i="21" s="1"/>
  <c r="L30" i="21"/>
  <c r="P30" i="21" s="1"/>
  <c r="J30" i="21"/>
  <c r="O17" i="7"/>
  <c r="Q17" i="7" s="1"/>
  <c r="S17" i="7" s="1"/>
  <c r="T17" i="7" s="1"/>
  <c r="O40" i="12"/>
  <c r="J33" i="21"/>
  <c r="O33" i="21" s="1"/>
  <c r="L33" i="21"/>
  <c r="P33" i="21" s="1"/>
  <c r="I33" i="21"/>
  <c r="M33" i="21" s="1"/>
  <c r="V25" i="8"/>
  <c r="X25" i="8" s="1"/>
  <c r="V14" i="8"/>
  <c r="X14" i="8" s="1"/>
  <c r="P37" i="2"/>
  <c r="O52" i="9"/>
  <c r="O56" i="2"/>
  <c r="V20" i="2"/>
  <c r="X20" i="2" s="1"/>
  <c r="Z20" i="2" s="1"/>
  <c r="AA20" i="2" s="1"/>
  <c r="O32" i="14"/>
  <c r="L38" i="14"/>
  <c r="P38" i="14" s="1"/>
  <c r="J38" i="14"/>
  <c r="I38" i="14"/>
  <c r="M38" i="14" s="1"/>
  <c r="D13" i="10"/>
  <c r="F13" i="10" s="1"/>
  <c r="P12" i="9"/>
  <c r="O56" i="3"/>
  <c r="O44" i="2"/>
  <c r="I22" i="9"/>
  <c r="K77" i="11"/>
  <c r="P45" i="11"/>
  <c r="O33" i="9"/>
  <c r="V15" i="4"/>
  <c r="X15" i="4" s="1"/>
  <c r="Z15" i="4" s="1"/>
  <c r="AA15" i="4" s="1"/>
  <c r="O39" i="10"/>
  <c r="O24" i="4"/>
  <c r="Q24" i="4" s="1"/>
  <c r="P49" i="3"/>
  <c r="I75" i="28"/>
  <c r="M44" i="28"/>
  <c r="F42" i="26"/>
  <c r="F40" i="26"/>
  <c r="F27" i="26"/>
  <c r="F25" i="26"/>
  <c r="F38" i="26"/>
  <c r="F20" i="26"/>
  <c r="F29" i="26"/>
  <c r="F31" i="26"/>
  <c r="F15" i="26"/>
  <c r="F16" i="26"/>
  <c r="F41" i="26"/>
  <c r="F26" i="26"/>
  <c r="F22" i="26"/>
  <c r="F30" i="26"/>
  <c r="F17" i="26"/>
  <c r="F18" i="26"/>
  <c r="F39" i="26"/>
  <c r="F36" i="26"/>
  <c r="F32" i="26"/>
  <c r="F19" i="26"/>
  <c r="F21" i="26"/>
  <c r="F35" i="26"/>
  <c r="F28" i="26"/>
  <c r="F37" i="26"/>
  <c r="X36" i="22"/>
  <c r="X33" i="22"/>
  <c r="X19" i="22"/>
  <c r="X16" i="22"/>
  <c r="X28" i="22"/>
  <c r="X15" i="22"/>
  <c r="X20" i="22"/>
  <c r="X17" i="22"/>
  <c r="X24" i="22"/>
  <c r="X25" i="22"/>
  <c r="X26" i="22"/>
  <c r="X27" i="22"/>
  <c r="X34" i="22"/>
  <c r="X23" i="22"/>
  <c r="X35" i="22"/>
  <c r="X32" i="22"/>
  <c r="X31" i="22"/>
  <c r="X18" i="22"/>
  <c r="F25" i="25"/>
  <c r="F23" i="25"/>
  <c r="F22" i="25"/>
  <c r="F20" i="25"/>
  <c r="F50" i="25"/>
  <c r="F51" i="25"/>
  <c r="F21" i="25"/>
  <c r="F41" i="25"/>
  <c r="F32" i="25"/>
  <c r="F37" i="25"/>
  <c r="F42" i="25"/>
  <c r="F19" i="25"/>
  <c r="F24" i="25"/>
  <c r="J36" i="15"/>
  <c r="O36" i="15" s="1"/>
  <c r="L36" i="15"/>
  <c r="P36" i="15" s="1"/>
  <c r="I36" i="15"/>
  <c r="M36" i="15" s="1"/>
  <c r="J66" i="25"/>
  <c r="K66" i="25"/>
  <c r="I66" i="25"/>
  <c r="M66" i="25" s="1"/>
  <c r="N86" i="16"/>
  <c r="K86" i="16"/>
  <c r="P86" i="16" s="1"/>
  <c r="P79" i="25"/>
  <c r="J58" i="29"/>
  <c r="K58" i="29"/>
  <c r="P58" i="29" s="1"/>
  <c r="I58" i="29"/>
  <c r="M58" i="29" s="1"/>
  <c r="P50" i="2"/>
  <c r="H53" i="20"/>
  <c r="M56" i="24"/>
  <c r="I90" i="24"/>
  <c r="J73" i="18"/>
  <c r="K42" i="18"/>
  <c r="N42" i="18"/>
  <c r="L46" i="14"/>
  <c r="I46" i="14"/>
  <c r="M46" i="14" s="1"/>
  <c r="J46" i="14"/>
  <c r="O46" i="14" s="1"/>
  <c r="M28" i="14"/>
  <c r="I57" i="14"/>
  <c r="L34" i="13"/>
  <c r="P34" i="13" s="1"/>
  <c r="J34" i="13"/>
  <c r="I34" i="13"/>
  <c r="M34" i="13" s="1"/>
  <c r="I40" i="13"/>
  <c r="M40" i="13" s="1"/>
  <c r="L40" i="13"/>
  <c r="J40" i="13"/>
  <c r="O40" i="13" s="1"/>
  <c r="P42" i="7"/>
  <c r="O17" i="5"/>
  <c r="N59" i="11"/>
  <c r="K78" i="11"/>
  <c r="W34" i="11" s="1"/>
  <c r="Y34" i="11" s="1"/>
  <c r="O25" i="8"/>
  <c r="Q25" i="8" s="1"/>
  <c r="O14" i="10"/>
  <c r="Q14" i="10" s="1"/>
  <c r="J54" i="10"/>
  <c r="O25" i="10"/>
  <c r="O19" i="10"/>
  <c r="Q19" i="10" s="1"/>
  <c r="O64" i="23"/>
  <c r="L64" i="23"/>
  <c r="P64" i="23" s="1"/>
  <c r="I60" i="6"/>
  <c r="M31" i="6"/>
  <c r="O16" i="4"/>
  <c r="Q16" i="4" s="1"/>
  <c r="X39" i="31"/>
  <c r="X22" i="31"/>
  <c r="X19" i="31"/>
  <c r="X16" i="31"/>
  <c r="X47" i="31"/>
  <c r="X40" i="31"/>
  <c r="X31" i="31"/>
  <c r="X18" i="31"/>
  <c r="X17" i="31"/>
  <c r="X43" i="31"/>
  <c r="X42" i="31"/>
  <c r="X35" i="31"/>
  <c r="X41" i="31"/>
  <c r="X34" i="31"/>
  <c r="X15" i="31"/>
  <c r="X48" i="31"/>
  <c r="X46" i="31"/>
  <c r="X45" i="31"/>
  <c r="X28" i="31"/>
  <c r="X27" i="31"/>
  <c r="X29" i="31"/>
  <c r="X21" i="31"/>
  <c r="X32" i="31"/>
  <c r="X33" i="31"/>
  <c r="X44" i="31"/>
  <c r="X30" i="31"/>
  <c r="X20" i="31"/>
  <c r="X36" i="31"/>
  <c r="X23" i="31"/>
  <c r="X24" i="31"/>
  <c r="J59" i="17"/>
  <c r="I59" i="17"/>
  <c r="M59" i="17" s="1"/>
  <c r="Q25" i="22"/>
  <c r="Q35" i="22"/>
  <c r="Q34" i="22"/>
  <c r="Q26" i="22"/>
  <c r="Q18" i="22"/>
  <c r="Q31" i="22"/>
  <c r="Q17" i="22"/>
  <c r="Q20" i="22"/>
  <c r="Q36" i="22"/>
  <c r="Q24" i="22"/>
  <c r="Q23" i="22"/>
  <c r="Q16" i="22"/>
  <c r="Q32" i="22"/>
  <c r="Q27" i="22"/>
  <c r="Q28" i="22"/>
  <c r="Q19" i="22"/>
  <c r="Q15" i="22"/>
  <c r="Q33" i="22"/>
  <c r="L39" i="12"/>
  <c r="J39" i="12"/>
  <c r="I39" i="12"/>
  <c r="M39" i="12" s="1"/>
  <c r="V20" i="5"/>
  <c r="V17" i="5"/>
  <c r="X17" i="5" s="1"/>
  <c r="O15" i="5"/>
  <c r="Q15" i="5" s="1"/>
  <c r="S15" i="5" s="1"/>
  <c r="T15" i="5" s="1"/>
  <c r="W24" i="4"/>
  <c r="X24" i="4" s="1"/>
  <c r="Z24" i="4" s="1"/>
  <c r="AA24" i="4" s="1"/>
  <c r="W12" i="4"/>
  <c r="W22" i="4"/>
  <c r="W17" i="4"/>
  <c r="P57" i="4"/>
  <c r="W15" i="4"/>
  <c r="W20" i="4"/>
  <c r="W25" i="4"/>
  <c r="W13" i="4"/>
  <c r="W14" i="4"/>
  <c r="X14" i="4" s="1"/>
  <c r="Z14" i="4" s="1"/>
  <c r="AA14" i="4" s="1"/>
  <c r="L62" i="4"/>
  <c r="W18" i="4"/>
  <c r="X18" i="4" s="1"/>
  <c r="Z18" i="4" s="1"/>
  <c r="AA18" i="4" s="1"/>
  <c r="W16" i="4"/>
  <c r="W23" i="4"/>
  <c r="W19" i="4"/>
  <c r="W21" i="4"/>
  <c r="X21" i="4" s="1"/>
  <c r="Z21" i="4" s="1"/>
  <c r="AA21" i="4" s="1"/>
  <c r="J55" i="10"/>
  <c r="P62" i="22"/>
  <c r="O28" i="14"/>
  <c r="V18" i="8"/>
  <c r="X18" i="8" s="1"/>
  <c r="Z18" i="8" s="1"/>
  <c r="AA18" i="8" s="1"/>
  <c r="O21" i="8"/>
  <c r="Q21" i="8" s="1"/>
  <c r="P49" i="12"/>
  <c r="G40" i="18"/>
  <c r="G40" i="22"/>
  <c r="H37" i="23"/>
  <c r="G42" i="17"/>
  <c r="H23" i="21"/>
  <c r="G56" i="16"/>
  <c r="H22" i="20"/>
  <c r="H27" i="19"/>
  <c r="H26" i="15"/>
  <c r="H27" i="13"/>
  <c r="H27" i="14"/>
  <c r="O50" i="14"/>
  <c r="O17" i="3"/>
  <c r="Q17" i="3" s="1"/>
  <c r="S17" i="3" s="1"/>
  <c r="T17" i="3" s="1"/>
  <c r="O13" i="4"/>
  <c r="Q13" i="4" s="1"/>
  <c r="L42" i="19"/>
  <c r="J42" i="19"/>
  <c r="O42" i="19" s="1"/>
  <c r="I42" i="19"/>
  <c r="M42" i="19" s="1"/>
  <c r="H21" i="9"/>
  <c r="J21" i="9" s="1"/>
  <c r="L21" i="9" s="1"/>
  <c r="M21" i="9" s="1"/>
  <c r="M42" i="3"/>
  <c r="O42" i="3"/>
  <c r="P41" i="14"/>
  <c r="O38" i="20"/>
  <c r="O32" i="19"/>
  <c r="L39" i="15"/>
  <c r="J39" i="15"/>
  <c r="O39" i="15" s="1"/>
  <c r="I39" i="15"/>
  <c r="M39" i="15" s="1"/>
  <c r="J33" i="14"/>
  <c r="O33" i="14" s="1"/>
  <c r="I33" i="14"/>
  <c r="M33" i="14" s="1"/>
  <c r="L33" i="14"/>
  <c r="P33" i="14" s="1"/>
  <c r="N40" i="29"/>
  <c r="J75" i="29"/>
  <c r="P40" i="29"/>
  <c r="F35" i="28"/>
  <c r="L40" i="21"/>
  <c r="P40" i="21" s="1"/>
  <c r="J40" i="21"/>
  <c r="I40" i="21"/>
  <c r="M40" i="21" s="1"/>
  <c r="E23" i="14"/>
  <c r="E16" i="14"/>
  <c r="E21" i="14"/>
  <c r="E15" i="14"/>
  <c r="E19" i="14"/>
  <c r="E17" i="14"/>
  <c r="E22" i="14"/>
  <c r="E13" i="14"/>
  <c r="E18" i="14"/>
  <c r="E14" i="14"/>
  <c r="E20" i="14"/>
  <c r="J49" i="17"/>
  <c r="I49" i="17"/>
  <c r="M49" i="17" s="1"/>
  <c r="O23" i="9"/>
  <c r="L37" i="21"/>
  <c r="I37" i="21"/>
  <c r="M37" i="21" s="1"/>
  <c r="J37" i="21"/>
  <c r="O37" i="21" s="1"/>
  <c r="P52" i="4"/>
  <c r="P46" i="13"/>
  <c r="K81" i="25"/>
  <c r="J81" i="25"/>
  <c r="I81" i="25"/>
  <c r="M81" i="25" s="1"/>
  <c r="I28" i="20"/>
  <c r="M28" i="20" s="1"/>
  <c r="L28" i="20"/>
  <c r="J28" i="20"/>
  <c r="O28" i="20" s="1"/>
  <c r="P45" i="9"/>
  <c r="M60" i="23"/>
  <c r="J60" i="23"/>
  <c r="J33" i="24"/>
  <c r="F38" i="25"/>
  <c r="Q69" i="31"/>
  <c r="Q69" i="30"/>
  <c r="Q59" i="28"/>
  <c r="Q57" i="29"/>
  <c r="Q63" i="26"/>
  <c r="Q63" i="27"/>
  <c r="J39" i="19"/>
  <c r="L39" i="19"/>
  <c r="P39" i="19" s="1"/>
  <c r="I39" i="19"/>
  <c r="M39" i="19" s="1"/>
  <c r="F35" i="34"/>
  <c r="F32" i="34"/>
  <c r="F23" i="34"/>
  <c r="F19" i="34"/>
  <c r="F18" i="34"/>
  <c r="F14" i="34"/>
  <c r="F28" i="34"/>
  <c r="F33" i="34"/>
  <c r="F17" i="34"/>
  <c r="F38" i="34"/>
  <c r="F26" i="34"/>
  <c r="F34" i="34"/>
  <c r="M81" i="30"/>
  <c r="I87" i="30"/>
  <c r="K78" i="35"/>
  <c r="P41" i="35"/>
  <c r="M43" i="34"/>
  <c r="I80" i="34"/>
  <c r="F36" i="33"/>
  <c r="F28" i="33"/>
  <c r="F25" i="33"/>
  <c r="F34" i="33"/>
  <c r="F16" i="33"/>
  <c r="F27" i="33"/>
  <c r="F24" i="33"/>
  <c r="F23" i="33"/>
  <c r="F33" i="33"/>
  <c r="F26" i="33"/>
  <c r="F19" i="33"/>
  <c r="F15" i="33"/>
  <c r="F35" i="33"/>
  <c r="F32" i="33"/>
  <c r="F20" i="33"/>
  <c r="F18" i="33"/>
  <c r="F17" i="33"/>
  <c r="F31" i="33"/>
  <c r="M55" i="30"/>
  <c r="J87" i="30"/>
  <c r="N81" i="30"/>
  <c r="P81" i="30"/>
  <c r="J77" i="27"/>
  <c r="N47" i="27"/>
  <c r="F27" i="28"/>
  <c r="F14" i="28"/>
  <c r="J37" i="24"/>
  <c r="J46" i="31"/>
  <c r="J44" i="31"/>
  <c r="J34" i="31"/>
  <c r="J31" i="31"/>
  <c r="J28" i="31"/>
  <c r="J42" i="31"/>
  <c r="J35" i="31"/>
  <c r="J36" i="31"/>
  <c r="J30" i="31"/>
  <c r="J33" i="31"/>
  <c r="J29" i="31"/>
  <c r="J24" i="31"/>
  <c r="J21" i="31"/>
  <c r="J47" i="31"/>
  <c r="J17" i="31"/>
  <c r="J39" i="31"/>
  <c r="J22" i="31"/>
  <c r="J43" i="31"/>
  <c r="J32" i="31"/>
  <c r="J27" i="31"/>
  <c r="J18" i="31"/>
  <c r="J20" i="31"/>
  <c r="J16" i="31"/>
  <c r="J23" i="31"/>
  <c r="J48" i="31"/>
  <c r="J45" i="31"/>
  <c r="J15" i="31"/>
  <c r="J41" i="31"/>
  <c r="J19" i="31"/>
  <c r="J40" i="31"/>
  <c r="F34" i="25"/>
  <c r="P83" i="25"/>
  <c r="J94" i="24"/>
  <c r="N60" i="24"/>
  <c r="F16" i="28"/>
  <c r="J50" i="24"/>
  <c r="P61" i="24"/>
  <c r="J30" i="24"/>
  <c r="O49" i="20"/>
  <c r="J62" i="18"/>
  <c r="I62" i="18"/>
  <c r="M62" i="18" s="1"/>
  <c r="Q74" i="30"/>
  <c r="Q74" i="31"/>
  <c r="Q64" i="28"/>
  <c r="Q68" i="27"/>
  <c r="Q62" i="29"/>
  <c r="Q68" i="26"/>
  <c r="L36" i="20"/>
  <c r="J36" i="20"/>
  <c r="I36" i="20"/>
  <c r="M36" i="20" s="1"/>
  <c r="K67" i="25"/>
  <c r="J67" i="25"/>
  <c r="I67" i="25"/>
  <c r="M67" i="25" s="1"/>
  <c r="J91" i="24"/>
  <c r="N57" i="24"/>
  <c r="O29" i="19"/>
  <c r="N69" i="11"/>
  <c r="P69" i="11"/>
  <c r="M43" i="18"/>
  <c r="F45" i="25"/>
  <c r="J29" i="24"/>
  <c r="Q19" i="17"/>
  <c r="Q28" i="17"/>
  <c r="Q26" i="17"/>
  <c r="Q24" i="17"/>
  <c r="Q23" i="17"/>
  <c r="Q15" i="17"/>
  <c r="Q27" i="17"/>
  <c r="Q20" i="17"/>
  <c r="Q14" i="17"/>
  <c r="Q35" i="17"/>
  <c r="Q36" i="17"/>
  <c r="Q29" i="17"/>
  <c r="Q38" i="17"/>
  <c r="Q34" i="17"/>
  <c r="Q18" i="17"/>
  <c r="Q16" i="17"/>
  <c r="Q25" i="17"/>
  <c r="Q17" i="17"/>
  <c r="Q32" i="17"/>
  <c r="Q37" i="17"/>
  <c r="Q33" i="17"/>
  <c r="L50" i="19"/>
  <c r="J50" i="19"/>
  <c r="O50" i="19" s="1"/>
  <c r="I50" i="19"/>
  <c r="M50" i="19" s="1"/>
  <c r="K58" i="22"/>
  <c r="J58" i="22"/>
  <c r="I58" i="22"/>
  <c r="M58" i="22" s="1"/>
  <c r="Q57" i="31"/>
  <c r="Q45" i="29"/>
  <c r="Q47" i="28"/>
  <c r="Q51" i="26"/>
  <c r="Q51" i="27"/>
  <c r="Q57" i="30"/>
  <c r="I59" i="12"/>
  <c r="M55" i="12"/>
  <c r="K71" i="25"/>
  <c r="J71" i="25"/>
  <c r="I71" i="25"/>
  <c r="M71" i="25" s="1"/>
  <c r="Q48" i="29"/>
  <c r="Q50" i="28"/>
  <c r="Q60" i="30"/>
  <c r="Q60" i="31"/>
  <c r="Q54" i="26"/>
  <c r="Q54" i="27"/>
  <c r="J79" i="11"/>
  <c r="N73" i="11"/>
  <c r="I41" i="21"/>
  <c r="M41" i="21" s="1"/>
  <c r="L41" i="21"/>
  <c r="J41" i="21"/>
  <c r="O41" i="21" s="1"/>
  <c r="H20" i="9"/>
  <c r="J20" i="9" s="1"/>
  <c r="L20" i="9" s="1"/>
  <c r="M20" i="9" s="1"/>
  <c r="O49" i="7"/>
  <c r="M49" i="7"/>
  <c r="P51" i="8"/>
  <c r="M41" i="18"/>
  <c r="I72" i="18"/>
  <c r="I29" i="15"/>
  <c r="L29" i="15"/>
  <c r="J29" i="15"/>
  <c r="P36" i="10"/>
  <c r="M49" i="6"/>
  <c r="O49" i="6"/>
  <c r="C70" i="31"/>
  <c r="C70" i="30"/>
  <c r="C60" i="28"/>
  <c r="C58" i="29"/>
  <c r="C64" i="27"/>
  <c r="C64" i="26"/>
  <c r="F31" i="25"/>
  <c r="O47" i="15"/>
  <c r="K50" i="11"/>
  <c r="J50" i="11"/>
  <c r="J78" i="11" s="1"/>
  <c r="I50" i="11"/>
  <c r="M50" i="11" s="1"/>
  <c r="L45" i="13"/>
  <c r="J45" i="13"/>
  <c r="O45" i="13" s="1"/>
  <c r="I45" i="13"/>
  <c r="M45" i="13" s="1"/>
  <c r="J54" i="18"/>
  <c r="I54" i="18"/>
  <c r="M54" i="18" s="1"/>
  <c r="I35" i="10"/>
  <c r="M35" i="10" s="1"/>
  <c r="L35" i="10"/>
  <c r="J35" i="10"/>
  <c r="O35" i="10" s="1"/>
  <c r="F21" i="3"/>
  <c r="O31" i="2"/>
  <c r="L60" i="2"/>
  <c r="O19" i="2"/>
  <c r="Q19" i="2" s="1"/>
  <c r="S19" i="2" s="1"/>
  <c r="T19" i="2" s="1"/>
  <c r="O24" i="2"/>
  <c r="Q24" i="2" s="1"/>
  <c r="S24" i="2" s="1"/>
  <c r="T24" i="2" s="1"/>
  <c r="O37" i="14"/>
  <c r="O32" i="7"/>
  <c r="M32" i="7"/>
  <c r="K63" i="17"/>
  <c r="P63" i="17" s="1"/>
  <c r="N63" i="17"/>
  <c r="O43" i="9"/>
  <c r="P55" i="7"/>
  <c r="W19" i="5"/>
  <c r="K64" i="26"/>
  <c r="J64" i="26"/>
  <c r="N64" i="26" s="1"/>
  <c r="I64" i="26"/>
  <c r="M64" i="26" s="1"/>
  <c r="O41" i="5"/>
  <c r="P41" i="5"/>
  <c r="K63" i="11"/>
  <c r="P63" i="11" s="1"/>
  <c r="J63" i="11"/>
  <c r="I63" i="11"/>
  <c r="M63" i="11" s="1"/>
  <c r="O18" i="5"/>
  <c r="O35" i="6"/>
  <c r="H24" i="5"/>
  <c r="J24" i="5" s="1"/>
  <c r="L24" i="5" s="1"/>
  <c r="M24" i="5" s="1"/>
  <c r="F24" i="3"/>
  <c r="O12" i="2"/>
  <c r="Q12" i="2" s="1"/>
  <c r="S12" i="2" s="1"/>
  <c r="T12" i="2" s="1"/>
  <c r="J49" i="14"/>
  <c r="O49" i="14" s="1"/>
  <c r="I49" i="14"/>
  <c r="M49" i="14" s="1"/>
  <c r="L49" i="14"/>
  <c r="F17" i="8"/>
  <c r="H16" i="2"/>
  <c r="J16" i="2" s="1"/>
  <c r="L16" i="2" s="1"/>
  <c r="M16" i="2" s="1"/>
  <c r="O47" i="12"/>
  <c r="M46" i="23"/>
  <c r="J46" i="23"/>
  <c r="J36" i="12"/>
  <c r="I36" i="12"/>
  <c r="L36" i="12"/>
  <c r="C56" i="31"/>
  <c r="C46" i="28"/>
  <c r="C44" i="29"/>
  <c r="C56" i="30"/>
  <c r="C50" i="26"/>
  <c r="C50" i="27"/>
  <c r="V15" i="8"/>
  <c r="X15" i="8" s="1"/>
  <c r="O47" i="7"/>
  <c r="O15" i="8"/>
  <c r="Q15" i="8" s="1"/>
  <c r="S15" i="8" s="1"/>
  <c r="T15" i="8" s="1"/>
  <c r="V22" i="2"/>
  <c r="X22" i="2" s="1"/>
  <c r="Z22" i="2" s="1"/>
  <c r="AA22" i="2" s="1"/>
  <c r="H18" i="2"/>
  <c r="J18" i="2" s="1"/>
  <c r="L18" i="2" s="1"/>
  <c r="M18" i="2" s="1"/>
  <c r="L37" i="15"/>
  <c r="J37" i="15"/>
  <c r="I37" i="15"/>
  <c r="M37" i="15" s="1"/>
  <c r="D14" i="10"/>
  <c r="F14" i="10" s="1"/>
  <c r="P23" i="9"/>
  <c r="F24" i="5"/>
  <c r="C67" i="31"/>
  <c r="C61" i="27"/>
  <c r="C67" i="30"/>
  <c r="C57" i="28"/>
  <c r="C55" i="29"/>
  <c r="C61" i="26"/>
  <c r="I21" i="9"/>
  <c r="O28" i="10"/>
  <c r="O33" i="7"/>
  <c r="O12" i="3"/>
  <c r="Q12" i="3" s="1"/>
  <c r="S12" i="3" s="1"/>
  <c r="T12" i="3" s="1"/>
  <c r="O56" i="7"/>
  <c r="V22" i="4"/>
  <c r="X22" i="4" s="1"/>
  <c r="O22" i="4"/>
  <c r="Q22" i="4" s="1"/>
  <c r="J44" i="20"/>
  <c r="L44" i="20"/>
  <c r="I44" i="20"/>
  <c r="M44" i="20" s="1"/>
  <c r="V17" i="2"/>
  <c r="X17" i="2" s="1"/>
  <c r="Z17" i="2" s="1"/>
  <c r="AA17" i="2" s="1"/>
  <c r="C59" i="30"/>
  <c r="C53" i="27"/>
  <c r="C47" i="29"/>
  <c r="C49" i="28"/>
  <c r="C53" i="26"/>
  <c r="C59" i="31"/>
  <c r="I39" i="14"/>
  <c r="M39" i="14" s="1"/>
  <c r="L39" i="14"/>
  <c r="J39" i="14"/>
  <c r="O39" i="14" s="1"/>
  <c r="P53" i="14"/>
  <c r="P38" i="7"/>
  <c r="P51" i="6"/>
  <c r="V24" i="2"/>
  <c r="X24" i="2" s="1"/>
  <c r="N48" i="11"/>
  <c r="L35" i="19"/>
  <c r="J35" i="19"/>
  <c r="O35" i="19" s="1"/>
  <c r="I35" i="19"/>
  <c r="M35" i="19" s="1"/>
  <c r="G78" i="17"/>
  <c r="J47" i="17"/>
  <c r="I47" i="17"/>
  <c r="O67" i="23"/>
  <c r="L67" i="23"/>
  <c r="P67" i="23" s="1"/>
  <c r="N72" i="16"/>
  <c r="K72" i="16"/>
  <c r="P72" i="16" s="1"/>
  <c r="N43" i="33"/>
  <c r="K85" i="30"/>
  <c r="P77" i="30"/>
  <c r="F38" i="28"/>
  <c r="F33" i="28"/>
  <c r="F26" i="28"/>
  <c r="F37" i="28"/>
  <c r="F34" i="28"/>
  <c r="F18" i="28"/>
  <c r="F25" i="28"/>
  <c r="F28" i="28"/>
  <c r="F23" i="28"/>
  <c r="F32" i="28"/>
  <c r="F20" i="28"/>
  <c r="F24" i="28"/>
  <c r="J31" i="24"/>
  <c r="O37" i="8"/>
  <c r="C76" i="31"/>
  <c r="C76" i="30"/>
  <c r="C70" i="27"/>
  <c r="C70" i="26"/>
  <c r="C64" i="29"/>
  <c r="C66" i="28"/>
  <c r="H25" i="5"/>
  <c r="J25" i="5" s="1"/>
  <c r="J67" i="16"/>
  <c r="I67" i="16"/>
  <c r="M67" i="16" s="1"/>
  <c r="I52" i="18"/>
  <c r="M52" i="18" s="1"/>
  <c r="J52" i="18"/>
  <c r="J81" i="34"/>
  <c r="N44" i="34"/>
  <c r="P55" i="30"/>
  <c r="I83" i="34"/>
  <c r="M70" i="34"/>
  <c r="I85" i="30"/>
  <c r="N41" i="29"/>
  <c r="P79" i="30"/>
  <c r="P49" i="26"/>
  <c r="P42" i="29"/>
  <c r="J94" i="25"/>
  <c r="P68" i="22"/>
  <c r="K94" i="24"/>
  <c r="P60" i="24"/>
  <c r="J64" i="17"/>
  <c r="I64" i="17"/>
  <c r="M64" i="17" s="1"/>
  <c r="K80" i="25"/>
  <c r="J80" i="25"/>
  <c r="I80" i="25"/>
  <c r="M80" i="25" s="1"/>
  <c r="I79" i="23"/>
  <c r="I91" i="16"/>
  <c r="M59" i="16"/>
  <c r="M54" i="23"/>
  <c r="J54" i="23"/>
  <c r="L30" i="20"/>
  <c r="P30" i="20" s="1"/>
  <c r="J30" i="20"/>
  <c r="I30" i="20"/>
  <c r="M30" i="20" s="1"/>
  <c r="K91" i="24"/>
  <c r="P57" i="24"/>
  <c r="P29" i="19"/>
  <c r="J50" i="23"/>
  <c r="M50" i="23"/>
  <c r="J28" i="17"/>
  <c r="J25" i="17"/>
  <c r="J29" i="17"/>
  <c r="J16" i="17"/>
  <c r="J14" i="17"/>
  <c r="J38" i="17"/>
  <c r="J23" i="17"/>
  <c r="J36" i="17"/>
  <c r="J34" i="17"/>
  <c r="J37" i="17"/>
  <c r="J24" i="17"/>
  <c r="J15" i="17"/>
  <c r="J35" i="17"/>
  <c r="J27" i="17"/>
  <c r="J19" i="17"/>
  <c r="J18" i="17"/>
  <c r="J20" i="17"/>
  <c r="J33" i="17"/>
  <c r="J17" i="17"/>
  <c r="J32" i="17"/>
  <c r="J26" i="17"/>
  <c r="M44" i="22"/>
  <c r="I56" i="15"/>
  <c r="M27" i="15"/>
  <c r="K79" i="26"/>
  <c r="I50" i="12"/>
  <c r="M50" i="12" s="1"/>
  <c r="L50" i="12"/>
  <c r="J50" i="12"/>
  <c r="O50" i="12" s="1"/>
  <c r="J56" i="23"/>
  <c r="M56" i="23"/>
  <c r="L26" i="20"/>
  <c r="J26" i="20"/>
  <c r="O26" i="20" s="1"/>
  <c r="I26" i="20"/>
  <c r="M26" i="20" s="1"/>
  <c r="J59" i="12"/>
  <c r="O55" i="12"/>
  <c r="Q65" i="31"/>
  <c r="Q59" i="27"/>
  <c r="Q53" i="29"/>
  <c r="Q65" i="30"/>
  <c r="Q59" i="26"/>
  <c r="Q55" i="28"/>
  <c r="J27" i="20"/>
  <c r="I27" i="20"/>
  <c r="M27" i="20" s="1"/>
  <c r="L27" i="20"/>
  <c r="J57" i="23"/>
  <c r="M57" i="23"/>
  <c r="M45" i="7"/>
  <c r="O45" i="7"/>
  <c r="N59" i="25"/>
  <c r="J93" i="25"/>
  <c r="E28" i="18"/>
  <c r="G28" i="18" s="1"/>
  <c r="H84" i="1" s="1"/>
  <c r="E19" i="18"/>
  <c r="G19" i="18" s="1"/>
  <c r="E20" i="18"/>
  <c r="G20" i="18" s="1"/>
  <c r="H83" i="1" s="1"/>
  <c r="E17" i="18"/>
  <c r="G17" i="18" s="1"/>
  <c r="E26" i="18"/>
  <c r="G26" i="18" s="1"/>
  <c r="E25" i="18"/>
  <c r="G25" i="18" s="1"/>
  <c r="E24" i="18"/>
  <c r="G24" i="18" s="1"/>
  <c r="E35" i="18"/>
  <c r="G35" i="18" s="1"/>
  <c r="E31" i="18"/>
  <c r="G31" i="18" s="1"/>
  <c r="E15" i="18"/>
  <c r="G15" i="18" s="1"/>
  <c r="E32" i="18"/>
  <c r="G32" i="18" s="1"/>
  <c r="E36" i="18"/>
  <c r="G36" i="18" s="1"/>
  <c r="H85" i="1" s="1"/>
  <c r="E18" i="18"/>
  <c r="G18" i="18" s="1"/>
  <c r="E34" i="18"/>
  <c r="G34" i="18" s="1"/>
  <c r="E16" i="18"/>
  <c r="G16" i="18" s="1"/>
  <c r="E33" i="18"/>
  <c r="G33" i="18" s="1"/>
  <c r="E23" i="18"/>
  <c r="G23" i="18" s="1"/>
  <c r="E27" i="18"/>
  <c r="G27" i="18" s="1"/>
  <c r="L25" i="20"/>
  <c r="J25" i="20"/>
  <c r="I25" i="20"/>
  <c r="M45" i="6"/>
  <c r="O45" i="6"/>
  <c r="O25" i="7"/>
  <c r="Q25" i="7" s="1"/>
  <c r="L44" i="15"/>
  <c r="P44" i="15" s="1"/>
  <c r="I44" i="15"/>
  <c r="M44" i="15" s="1"/>
  <c r="J44" i="15"/>
  <c r="J71" i="16"/>
  <c r="I71" i="16"/>
  <c r="M71" i="16" s="1"/>
  <c r="K55" i="11"/>
  <c r="J55" i="11"/>
  <c r="N55" i="11" s="1"/>
  <c r="I55" i="11"/>
  <c r="M55" i="11" s="1"/>
  <c r="H17" i="4"/>
  <c r="J17" i="4" s="1"/>
  <c r="L17" i="4" s="1"/>
  <c r="M17" i="4" s="1"/>
  <c r="H22" i="4"/>
  <c r="J22" i="4" s="1"/>
  <c r="L22" i="4" s="1"/>
  <c r="M22" i="4" s="1"/>
  <c r="H15" i="4"/>
  <c r="J15" i="4" s="1"/>
  <c r="H20" i="4"/>
  <c r="J20" i="4" s="1"/>
  <c r="L20" i="4" s="1"/>
  <c r="M20" i="4" s="1"/>
  <c r="H25" i="4"/>
  <c r="J25" i="4" s="1"/>
  <c r="H13" i="4"/>
  <c r="J13" i="4" s="1"/>
  <c r="L13" i="4" s="1"/>
  <c r="M13" i="4" s="1"/>
  <c r="H18" i="4"/>
  <c r="J18" i="4" s="1"/>
  <c r="L18" i="4" s="1"/>
  <c r="M18" i="4" s="1"/>
  <c r="H19" i="4"/>
  <c r="J19" i="4" s="1"/>
  <c r="L19" i="4" s="1"/>
  <c r="M19" i="4" s="1"/>
  <c r="H21" i="4"/>
  <c r="J21" i="4" s="1"/>
  <c r="L21" i="4" s="1"/>
  <c r="M21" i="4" s="1"/>
  <c r="H12" i="4"/>
  <c r="M30" i="4"/>
  <c r="H24" i="4"/>
  <c r="J24" i="4" s="1"/>
  <c r="L24" i="4" s="1"/>
  <c r="M24" i="4" s="1"/>
  <c r="H16" i="4"/>
  <c r="J16" i="4" s="1"/>
  <c r="L16" i="4" s="1"/>
  <c r="M16" i="4" s="1"/>
  <c r="H23" i="4"/>
  <c r="J23" i="4" s="1"/>
  <c r="L23" i="4" s="1"/>
  <c r="M23" i="4" s="1"/>
  <c r="H14" i="4"/>
  <c r="J14" i="4" s="1"/>
  <c r="L14" i="4" s="1"/>
  <c r="M14" i="4" s="1"/>
  <c r="F14" i="3"/>
  <c r="P39" i="23"/>
  <c r="W14" i="5"/>
  <c r="M55" i="6"/>
  <c r="O55" i="6"/>
  <c r="K56" i="18"/>
  <c r="P56" i="18" s="1"/>
  <c r="N56" i="18"/>
  <c r="O52" i="2"/>
  <c r="I76" i="24"/>
  <c r="M76" i="24" s="1"/>
  <c r="K76" i="24"/>
  <c r="J76" i="24"/>
  <c r="N76" i="24" s="1"/>
  <c r="O16" i="3"/>
  <c r="J36" i="19"/>
  <c r="I36" i="19"/>
  <c r="M36" i="19" s="1"/>
  <c r="L36" i="19"/>
  <c r="P36" i="19" s="1"/>
  <c r="J43" i="10"/>
  <c r="I43" i="10"/>
  <c r="M43" i="10" s="1"/>
  <c r="L43" i="10"/>
  <c r="P43" i="10" s="1"/>
  <c r="O20" i="5"/>
  <c r="P50" i="7"/>
  <c r="H17" i="5"/>
  <c r="J17" i="5" s="1"/>
  <c r="L17" i="5" s="1"/>
  <c r="M17" i="5" s="1"/>
  <c r="O14" i="2"/>
  <c r="Q14" i="2" s="1"/>
  <c r="S14" i="2" s="1"/>
  <c r="T14" i="2" s="1"/>
  <c r="Q75" i="31"/>
  <c r="Q75" i="30"/>
  <c r="Q63" i="29"/>
  <c r="Q69" i="27"/>
  <c r="Q65" i="28"/>
  <c r="Q69" i="26"/>
  <c r="F23" i="8"/>
  <c r="O42" i="12"/>
  <c r="P44" i="14"/>
  <c r="O37" i="12"/>
  <c r="I47" i="18"/>
  <c r="J47" i="18"/>
  <c r="P56" i="4"/>
  <c r="L35" i="15"/>
  <c r="J35" i="15"/>
  <c r="I35" i="15"/>
  <c r="M35" i="15" s="1"/>
  <c r="V22" i="8"/>
  <c r="X22" i="8" s="1"/>
  <c r="Z22" i="8" s="1"/>
  <c r="AA22" i="8" s="1"/>
  <c r="O50" i="13"/>
  <c r="P47" i="19"/>
  <c r="O44" i="9"/>
  <c r="O16" i="8"/>
  <c r="Q16" i="8" s="1"/>
  <c r="S16" i="8" s="1"/>
  <c r="T16" i="8" s="1"/>
  <c r="P40" i="5"/>
  <c r="P64" i="11"/>
  <c r="V13" i="2"/>
  <c r="X13" i="2" s="1"/>
  <c r="Z13" i="2" s="1"/>
  <c r="AA13" i="2" s="1"/>
  <c r="I69" i="16"/>
  <c r="M69" i="16" s="1"/>
  <c r="J69" i="16"/>
  <c r="D16" i="10"/>
  <c r="F16" i="10" s="1"/>
  <c r="P24" i="9"/>
  <c r="I22" i="5"/>
  <c r="M58" i="5"/>
  <c r="I25" i="5"/>
  <c r="I13" i="5"/>
  <c r="I14" i="5"/>
  <c r="H20" i="5"/>
  <c r="J20" i="5" s="1"/>
  <c r="L20" i="5" s="1"/>
  <c r="M20" i="5" s="1"/>
  <c r="H14" i="5"/>
  <c r="J14" i="5" s="1"/>
  <c r="L14" i="5" s="1"/>
  <c r="M14" i="5" s="1"/>
  <c r="I18" i="5"/>
  <c r="H18" i="5"/>
  <c r="J18" i="5" s="1"/>
  <c r="L18" i="5" s="1"/>
  <c r="M18" i="5" s="1"/>
  <c r="I16" i="5"/>
  <c r="I21" i="5"/>
  <c r="H21" i="5"/>
  <c r="J21" i="5" s="1"/>
  <c r="L21" i="5" s="1"/>
  <c r="M21" i="5" s="1"/>
  <c r="I19" i="5"/>
  <c r="I23" i="5"/>
  <c r="P25" i="5"/>
  <c r="P13" i="5"/>
  <c r="O58" i="5"/>
  <c r="P18" i="5"/>
  <c r="P23" i="5"/>
  <c r="P16" i="5"/>
  <c r="P21" i="5"/>
  <c r="P15" i="5"/>
  <c r="P17" i="5"/>
  <c r="P19" i="5"/>
  <c r="O24" i="5"/>
  <c r="P22" i="5"/>
  <c r="O22" i="5"/>
  <c r="P20" i="5"/>
  <c r="O21" i="5"/>
  <c r="P12" i="5"/>
  <c r="O19" i="5"/>
  <c r="P14" i="5"/>
  <c r="O12" i="5"/>
  <c r="Q12" i="5" s="1"/>
  <c r="S12" i="5" s="1"/>
  <c r="T12" i="5" s="1"/>
  <c r="P24" i="5"/>
  <c r="F15" i="4"/>
  <c r="P46" i="2"/>
  <c r="O43" i="3"/>
  <c r="C56" i="29"/>
  <c r="C58" i="28"/>
  <c r="C68" i="31"/>
  <c r="C62" i="26"/>
  <c r="C62" i="27"/>
  <c r="C68" i="30"/>
  <c r="I18" i="9"/>
  <c r="P53" i="9"/>
  <c r="P52" i="9"/>
  <c r="O41" i="8"/>
  <c r="P62" i="11"/>
  <c r="H16" i="5"/>
  <c r="P31" i="6"/>
  <c r="L60" i="6"/>
  <c r="O19" i="3"/>
  <c r="Q19" i="3" s="1"/>
  <c r="S19" i="3" s="1"/>
  <c r="T19" i="3" s="1"/>
  <c r="V12" i="4"/>
  <c r="X12" i="4" s="1"/>
  <c r="Z12" i="4" s="1"/>
  <c r="AA12" i="4" s="1"/>
  <c r="O53" i="8"/>
  <c r="O20" i="4"/>
  <c r="Q20" i="4" s="1"/>
  <c r="D20" i="10"/>
  <c r="F20" i="10" s="1"/>
  <c r="H24" i="1" s="1"/>
  <c r="N66" i="11"/>
  <c r="P37" i="11" l="1"/>
  <c r="P36" i="11"/>
  <c r="P33" i="11"/>
  <c r="P15" i="11"/>
  <c r="P20" i="11"/>
  <c r="P32" i="11"/>
  <c r="P19" i="11"/>
  <c r="P23" i="11"/>
  <c r="P38" i="11"/>
  <c r="P27" i="11"/>
  <c r="P18" i="11"/>
  <c r="R18" i="11" s="1"/>
  <c r="P34" i="11"/>
  <c r="P17" i="11"/>
  <c r="P29" i="11"/>
  <c r="P14" i="11"/>
  <c r="P16" i="11"/>
  <c r="P28" i="11"/>
  <c r="P35" i="11"/>
  <c r="P26" i="11"/>
  <c r="P24" i="11"/>
  <c r="P25" i="11"/>
  <c r="P25" i="20"/>
  <c r="L53" i="20"/>
  <c r="K48" i="29"/>
  <c r="I48" i="29"/>
  <c r="M48" i="29" s="1"/>
  <c r="J48" i="29"/>
  <c r="P29" i="10"/>
  <c r="V20" i="10"/>
  <c r="X20" i="10" s="1"/>
  <c r="V14" i="10"/>
  <c r="X14" i="10" s="1"/>
  <c r="Z14" i="10" s="1"/>
  <c r="AA14" i="10" s="1"/>
  <c r="V13" i="10"/>
  <c r="X13" i="10" s="1"/>
  <c r="L55" i="10"/>
  <c r="V18" i="10"/>
  <c r="X18" i="10" s="1"/>
  <c r="V19" i="10"/>
  <c r="X19" i="10" s="1"/>
  <c r="Z19" i="10" s="1"/>
  <c r="AA19" i="10" s="1"/>
  <c r="O51" i="23"/>
  <c r="L51" i="23"/>
  <c r="P51" i="23" s="1"/>
  <c r="P26" i="20"/>
  <c r="C48" i="35"/>
  <c r="C53" i="34"/>
  <c r="C50" i="32"/>
  <c r="C48" i="33"/>
  <c r="W17" i="19"/>
  <c r="W22" i="19"/>
  <c r="W19" i="19"/>
  <c r="W16" i="19"/>
  <c r="W13" i="19"/>
  <c r="W18" i="19"/>
  <c r="W20" i="19"/>
  <c r="W15" i="19"/>
  <c r="W21" i="19"/>
  <c r="W23" i="19"/>
  <c r="W14" i="19"/>
  <c r="P34" i="14"/>
  <c r="K58" i="35"/>
  <c r="J58" i="35"/>
  <c r="N58" i="35" s="1"/>
  <c r="I58" i="35"/>
  <c r="M58" i="35" s="1"/>
  <c r="K52" i="27"/>
  <c r="J52" i="27"/>
  <c r="N52" i="27" s="1"/>
  <c r="I52" i="27"/>
  <c r="M52" i="27" s="1"/>
  <c r="K63" i="31"/>
  <c r="P63" i="31" s="1"/>
  <c r="J63" i="31"/>
  <c r="N63" i="31" s="1"/>
  <c r="I63" i="31"/>
  <c r="M63" i="31" s="1"/>
  <c r="W14" i="11"/>
  <c r="Y14" i="11" s="1"/>
  <c r="J54" i="29"/>
  <c r="K54" i="29"/>
  <c r="P54" i="29" s="1"/>
  <c r="I54" i="29"/>
  <c r="M54" i="29" s="1"/>
  <c r="Q60" i="34"/>
  <c r="Q57" i="32"/>
  <c r="Q55" i="33"/>
  <c r="Q55" i="35"/>
  <c r="K64" i="29"/>
  <c r="P64" i="29" s="1"/>
  <c r="J64" i="29"/>
  <c r="I64" i="29"/>
  <c r="M64" i="29" s="1"/>
  <c r="K58" i="28"/>
  <c r="J58" i="28"/>
  <c r="N58" i="28" s="1"/>
  <c r="I58" i="28"/>
  <c r="M58" i="28" s="1"/>
  <c r="P31" i="14"/>
  <c r="L58" i="14"/>
  <c r="I58" i="14"/>
  <c r="N55" i="18"/>
  <c r="K55" i="18"/>
  <c r="P55" i="18" s="1"/>
  <c r="S20" i="4"/>
  <c r="T20" i="4" s="1"/>
  <c r="K69" i="16"/>
  <c r="P69" i="16" s="1"/>
  <c r="N69" i="16"/>
  <c r="P35" i="15"/>
  <c r="J81" i="24"/>
  <c r="N81" i="24" s="1"/>
  <c r="I81" i="24"/>
  <c r="M81" i="24" s="1"/>
  <c r="K81" i="24"/>
  <c r="P81" i="24" s="1"/>
  <c r="O36" i="19"/>
  <c r="O44" i="15"/>
  <c r="I55" i="28"/>
  <c r="M55" i="28" s="1"/>
  <c r="J55" i="28"/>
  <c r="K55" i="28"/>
  <c r="P55" i="28" s="1"/>
  <c r="O30" i="20"/>
  <c r="N64" i="17"/>
  <c r="K64" i="17"/>
  <c r="P64" i="17" s="1"/>
  <c r="L25" i="5"/>
  <c r="M25" i="5" s="1"/>
  <c r="J16" i="1"/>
  <c r="K16" i="1" s="1"/>
  <c r="L16" i="1" s="1"/>
  <c r="Z24" i="2"/>
  <c r="AA24" i="2" s="1"/>
  <c r="C47" i="35"/>
  <c r="C47" i="33"/>
  <c r="C52" i="34"/>
  <c r="C49" i="32"/>
  <c r="P37" i="15"/>
  <c r="P36" i="12"/>
  <c r="P50" i="11"/>
  <c r="O29" i="15"/>
  <c r="J57" i="15"/>
  <c r="O36" i="20"/>
  <c r="S13" i="4"/>
  <c r="T13" i="4" s="1"/>
  <c r="V17" i="10"/>
  <c r="X17" i="10" s="1"/>
  <c r="S25" i="8"/>
  <c r="T25" i="8" s="1"/>
  <c r="N21" i="1"/>
  <c r="V16" i="10"/>
  <c r="X16" i="10" s="1"/>
  <c r="K53" i="18"/>
  <c r="P53" i="18" s="1"/>
  <c r="N53" i="18"/>
  <c r="C55" i="34"/>
  <c r="C50" i="35"/>
  <c r="C50" i="33"/>
  <c r="C52" i="32"/>
  <c r="J35" i="29"/>
  <c r="J26" i="29"/>
  <c r="J17" i="29"/>
  <c r="J18" i="29"/>
  <c r="J15" i="29"/>
  <c r="J31" i="29"/>
  <c r="J24" i="29"/>
  <c r="J27" i="29"/>
  <c r="J30" i="29"/>
  <c r="J22" i="29"/>
  <c r="J19" i="29"/>
  <c r="J14" i="29"/>
  <c r="J33" i="29"/>
  <c r="J34" i="29"/>
  <c r="J32" i="29"/>
  <c r="J25" i="29"/>
  <c r="J16" i="29"/>
  <c r="J23" i="29"/>
  <c r="O43" i="21"/>
  <c r="Z16" i="7"/>
  <c r="AA16" i="7" s="1"/>
  <c r="I76" i="31"/>
  <c r="M76" i="31" s="1"/>
  <c r="J76" i="31"/>
  <c r="K76" i="31"/>
  <c r="P76" i="31" s="1"/>
  <c r="I54" i="28"/>
  <c r="M54" i="28" s="1"/>
  <c r="K54" i="28"/>
  <c r="J54" i="28"/>
  <c r="N54" i="28" s="1"/>
  <c r="N67" i="25"/>
  <c r="P67" i="25"/>
  <c r="O34" i="14"/>
  <c r="Q16" i="3"/>
  <c r="S16" i="3" s="1"/>
  <c r="T16" i="3" s="1"/>
  <c r="P29" i="15"/>
  <c r="L57" i="15"/>
  <c r="K79" i="22"/>
  <c r="G24" i="25"/>
  <c r="O31" i="14"/>
  <c r="J58" i="14"/>
  <c r="N80" i="25"/>
  <c r="I14" i="14"/>
  <c r="I19" i="14"/>
  <c r="I13" i="14"/>
  <c r="I18" i="14"/>
  <c r="I23" i="14"/>
  <c r="I21" i="14"/>
  <c r="I16" i="14"/>
  <c r="I17" i="14"/>
  <c r="I20" i="14"/>
  <c r="I22" i="14"/>
  <c r="I15" i="14"/>
  <c r="I63" i="29"/>
  <c r="M63" i="29" s="1"/>
  <c r="J63" i="29"/>
  <c r="N63" i="29" s="1"/>
  <c r="K63" i="29"/>
  <c r="K69" i="31"/>
  <c r="P69" i="31" s="1"/>
  <c r="I69" i="31"/>
  <c r="M69" i="31" s="1"/>
  <c r="J69" i="31"/>
  <c r="K49" i="17"/>
  <c r="P49" i="17" s="1"/>
  <c r="N49" i="17"/>
  <c r="N63" i="16"/>
  <c r="K63" i="16"/>
  <c r="P63" i="16" s="1"/>
  <c r="N64" i="18"/>
  <c r="K64" i="18"/>
  <c r="P64" i="18" s="1"/>
  <c r="J18" i="6"/>
  <c r="L18" i="6" s="1"/>
  <c r="M18" i="6" s="1"/>
  <c r="N59" i="22"/>
  <c r="O31" i="19"/>
  <c r="J58" i="19"/>
  <c r="J52" i="26"/>
  <c r="K52" i="26"/>
  <c r="P52" i="26" s="1"/>
  <c r="I52" i="26"/>
  <c r="M52" i="26" s="1"/>
  <c r="P40" i="19"/>
  <c r="N15" i="1"/>
  <c r="O15" i="1" s="1"/>
  <c r="P15" i="1" s="1"/>
  <c r="S25" i="4"/>
  <c r="T25" i="4" s="1"/>
  <c r="Q59" i="34"/>
  <c r="Q54" i="35"/>
  <c r="Q56" i="32"/>
  <c r="Q54" i="33"/>
  <c r="G30" i="25"/>
  <c r="J13" i="1"/>
  <c r="K13" i="1" s="1"/>
  <c r="L13" i="1" s="1"/>
  <c r="L25" i="3"/>
  <c r="M25" i="3" s="1"/>
  <c r="F14" i="14"/>
  <c r="K57" i="31"/>
  <c r="P57" i="31" s="1"/>
  <c r="I57" i="31"/>
  <c r="M57" i="31" s="1"/>
  <c r="J57" i="31"/>
  <c r="K73" i="24"/>
  <c r="J73" i="24"/>
  <c r="I73" i="24"/>
  <c r="M73" i="24" s="1"/>
  <c r="V12" i="10"/>
  <c r="X12" i="10" s="1"/>
  <c r="W29" i="11"/>
  <c r="Y29" i="11" s="1"/>
  <c r="W33" i="11"/>
  <c r="Y33" i="11" s="1"/>
  <c r="W26" i="11"/>
  <c r="Y26" i="11" s="1"/>
  <c r="W27" i="11"/>
  <c r="Y27" i="11" s="1"/>
  <c r="W23" i="11"/>
  <c r="Y23" i="11" s="1"/>
  <c r="W15" i="11"/>
  <c r="Y15" i="11" s="1"/>
  <c r="W38" i="11"/>
  <c r="Y38" i="11" s="1"/>
  <c r="W19" i="11"/>
  <c r="Y19" i="11" s="1"/>
  <c r="W25" i="11"/>
  <c r="Y25" i="11" s="1"/>
  <c r="W20" i="11"/>
  <c r="Y20" i="11" s="1"/>
  <c r="W32" i="11"/>
  <c r="Y32" i="11" s="1"/>
  <c r="W17" i="11"/>
  <c r="Y17" i="11" s="1"/>
  <c r="W16" i="11"/>
  <c r="Y16" i="11" s="1"/>
  <c r="L25" i="4"/>
  <c r="M25" i="4" s="1"/>
  <c r="J15" i="1"/>
  <c r="K15" i="1" s="1"/>
  <c r="L15" i="1" s="1"/>
  <c r="O36" i="12"/>
  <c r="M29" i="15"/>
  <c r="I57" i="15"/>
  <c r="I63" i="24"/>
  <c r="M63" i="24" s="1"/>
  <c r="K63" i="24"/>
  <c r="J63" i="24"/>
  <c r="P76" i="24"/>
  <c r="S25" i="7"/>
  <c r="T25" i="7" s="1"/>
  <c r="N19" i="1"/>
  <c r="Q53" i="35"/>
  <c r="Q58" i="34"/>
  <c r="Q53" i="33"/>
  <c r="Q55" i="32"/>
  <c r="P50" i="12"/>
  <c r="P44" i="20"/>
  <c r="O46" i="23"/>
  <c r="L46" i="23"/>
  <c r="P46" i="23" s="1"/>
  <c r="Q18" i="5"/>
  <c r="K68" i="26"/>
  <c r="J68" i="26"/>
  <c r="N68" i="26" s="1"/>
  <c r="I68" i="26"/>
  <c r="M68" i="26" s="1"/>
  <c r="J45" i="30"/>
  <c r="J28" i="30"/>
  <c r="J44" i="30"/>
  <c r="J36" i="30"/>
  <c r="J27" i="30"/>
  <c r="J43" i="30"/>
  <c r="J31" i="30"/>
  <c r="J20" i="30"/>
  <c r="J15" i="30"/>
  <c r="J35" i="30"/>
  <c r="J17" i="30"/>
  <c r="J29" i="30"/>
  <c r="J39" i="30"/>
  <c r="J30" i="30"/>
  <c r="J48" i="30"/>
  <c r="J23" i="30"/>
  <c r="J19" i="30"/>
  <c r="J24" i="30"/>
  <c r="J46" i="30"/>
  <c r="J40" i="30"/>
  <c r="J32" i="30"/>
  <c r="J16" i="30"/>
  <c r="J33" i="30"/>
  <c r="J42" i="30"/>
  <c r="J47" i="30"/>
  <c r="J41" i="30"/>
  <c r="J21" i="30"/>
  <c r="J18" i="30"/>
  <c r="J22" i="30"/>
  <c r="J34" i="30"/>
  <c r="X20" i="5"/>
  <c r="N59" i="17"/>
  <c r="K59" i="17"/>
  <c r="P59" i="17" s="1"/>
  <c r="Q17" i="5"/>
  <c r="S17" i="5" s="1"/>
  <c r="T17" i="5" s="1"/>
  <c r="P46" i="14"/>
  <c r="O30" i="21"/>
  <c r="P35" i="20"/>
  <c r="Q24" i="9"/>
  <c r="S24" i="9" s="1"/>
  <c r="T24" i="9" s="1"/>
  <c r="N53" i="17"/>
  <c r="K53" i="17"/>
  <c r="P53" i="17" s="1"/>
  <c r="N61" i="11"/>
  <c r="P29" i="20"/>
  <c r="P31" i="19"/>
  <c r="L58" i="19"/>
  <c r="N45" i="18"/>
  <c r="K45" i="18"/>
  <c r="P45" i="18" s="1"/>
  <c r="Q46" i="35"/>
  <c r="Q51" i="34"/>
  <c r="Q46" i="33"/>
  <c r="Q48" i="32"/>
  <c r="O32" i="15"/>
  <c r="K66" i="31"/>
  <c r="P66" i="31" s="1"/>
  <c r="J66" i="31"/>
  <c r="I66" i="31"/>
  <c r="M66" i="31" s="1"/>
  <c r="Z25" i="2"/>
  <c r="AA25" i="2" s="1"/>
  <c r="R12" i="1"/>
  <c r="M33" i="13"/>
  <c r="I58" i="13"/>
  <c r="N66" i="17"/>
  <c r="K66" i="17"/>
  <c r="P66" i="17" s="1"/>
  <c r="P55" i="22"/>
  <c r="K70" i="16"/>
  <c r="P70" i="16" s="1"/>
  <c r="N70" i="16"/>
  <c r="I60" i="21"/>
  <c r="M27" i="21"/>
  <c r="I59" i="21"/>
  <c r="K62" i="24"/>
  <c r="J62" i="24"/>
  <c r="I62" i="24"/>
  <c r="G95" i="24"/>
  <c r="J69" i="26"/>
  <c r="N69" i="26" s="1"/>
  <c r="K69" i="26"/>
  <c r="I69" i="26"/>
  <c r="M69" i="26" s="1"/>
  <c r="N52" i="18"/>
  <c r="K52" i="18"/>
  <c r="P52" i="18" s="1"/>
  <c r="J74" i="31"/>
  <c r="K74" i="31"/>
  <c r="I74" i="31"/>
  <c r="M74" i="31" s="1"/>
  <c r="I56" i="27"/>
  <c r="M56" i="27" s="1"/>
  <c r="K56" i="27"/>
  <c r="J56" i="27"/>
  <c r="K69" i="27"/>
  <c r="P69" i="27" s="1"/>
  <c r="J69" i="27"/>
  <c r="I69" i="27"/>
  <c r="M69" i="27" s="1"/>
  <c r="P80" i="25"/>
  <c r="N71" i="25"/>
  <c r="O47" i="21"/>
  <c r="K49" i="29"/>
  <c r="J49" i="29"/>
  <c r="N49" i="29" s="1"/>
  <c r="I49" i="29"/>
  <c r="M49" i="29" s="1"/>
  <c r="O37" i="15"/>
  <c r="P64" i="26"/>
  <c r="P58" i="22"/>
  <c r="M31" i="19"/>
  <c r="I58" i="19"/>
  <c r="W37" i="11"/>
  <c r="Y37" i="11" s="1"/>
  <c r="K66" i="24"/>
  <c r="P66" i="24" s="1"/>
  <c r="J66" i="24"/>
  <c r="I66" i="24"/>
  <c r="M66" i="24" s="1"/>
  <c r="Q19" i="5"/>
  <c r="K54" i="26"/>
  <c r="P54" i="26" s="1"/>
  <c r="J54" i="26"/>
  <c r="N54" i="26" s="1"/>
  <c r="I54" i="26"/>
  <c r="M54" i="26" s="1"/>
  <c r="S21" i="8"/>
  <c r="T21" i="8" s="1"/>
  <c r="Z21" i="8"/>
  <c r="AA21" i="8" s="1"/>
  <c r="O35" i="20"/>
  <c r="Z12" i="3"/>
  <c r="AA12" i="3" s="1"/>
  <c r="D13" i="13"/>
  <c r="F13" i="13" s="1"/>
  <c r="D18" i="13"/>
  <c r="F18" i="13" s="1"/>
  <c r="D23" i="13"/>
  <c r="F23" i="13" s="1"/>
  <c r="H31" i="1" s="1"/>
  <c r="D15" i="13"/>
  <c r="F15" i="13" s="1"/>
  <c r="D19" i="13"/>
  <c r="F19" i="13" s="1"/>
  <c r="D22" i="13"/>
  <c r="F22" i="13" s="1"/>
  <c r="D17" i="13"/>
  <c r="F17" i="13" s="1"/>
  <c r="D21" i="13"/>
  <c r="F21" i="13" s="1"/>
  <c r="D16" i="13"/>
  <c r="F16" i="13" s="1"/>
  <c r="D14" i="13"/>
  <c r="F14" i="13" s="1"/>
  <c r="D20" i="13"/>
  <c r="F20" i="13" s="1"/>
  <c r="O29" i="20"/>
  <c r="J55" i="26"/>
  <c r="N55" i="26" s="1"/>
  <c r="I55" i="26"/>
  <c r="M55" i="26" s="1"/>
  <c r="K55" i="26"/>
  <c r="P16" i="19"/>
  <c r="P18" i="19"/>
  <c r="P20" i="19"/>
  <c r="P17" i="19"/>
  <c r="P14" i="19"/>
  <c r="P23" i="19"/>
  <c r="P15" i="19"/>
  <c r="P22" i="19"/>
  <c r="P21" i="19"/>
  <c r="P19" i="19"/>
  <c r="P13" i="19"/>
  <c r="J73" i="31"/>
  <c r="I73" i="31"/>
  <c r="M73" i="31" s="1"/>
  <c r="K73" i="31"/>
  <c r="P73" i="31" s="1"/>
  <c r="I64" i="24"/>
  <c r="M64" i="24" s="1"/>
  <c r="K64" i="24"/>
  <c r="J64" i="24"/>
  <c r="N64" i="24" s="1"/>
  <c r="P32" i="21"/>
  <c r="N76" i="16"/>
  <c r="K76" i="16"/>
  <c r="P76" i="16" s="1"/>
  <c r="N55" i="22"/>
  <c r="J78" i="22"/>
  <c r="G38" i="25"/>
  <c r="H48" i="1" s="1"/>
  <c r="H18" i="20"/>
  <c r="J18" i="20" s="1"/>
  <c r="Z14" i="3"/>
  <c r="AA14" i="3" s="1"/>
  <c r="L19" i="8"/>
  <c r="M19" i="8" s="1"/>
  <c r="P13" i="12"/>
  <c r="P18" i="12"/>
  <c r="P16" i="12"/>
  <c r="P21" i="12"/>
  <c r="P23" i="12"/>
  <c r="P22" i="12"/>
  <c r="P19" i="12"/>
  <c r="P17" i="12"/>
  <c r="P20" i="12"/>
  <c r="P15" i="12"/>
  <c r="P14" i="12"/>
  <c r="Z25" i="4"/>
  <c r="AA25" i="4" s="1"/>
  <c r="R15" i="1"/>
  <c r="P45" i="13"/>
  <c r="C45" i="35"/>
  <c r="C47" i="32"/>
  <c r="C50" i="34"/>
  <c r="C45" i="33"/>
  <c r="O35" i="15"/>
  <c r="K71" i="16"/>
  <c r="P71" i="16" s="1"/>
  <c r="N71" i="16"/>
  <c r="N50" i="11"/>
  <c r="Q63" i="35"/>
  <c r="Q68" i="34"/>
  <c r="Q65" i="32"/>
  <c r="Q63" i="33"/>
  <c r="L56" i="23"/>
  <c r="P56" i="23" s="1"/>
  <c r="O56" i="23"/>
  <c r="E36" i="22"/>
  <c r="G36" i="22" s="1"/>
  <c r="H95" i="1" s="1"/>
  <c r="E28" i="22"/>
  <c r="G28" i="22" s="1"/>
  <c r="H94" i="1" s="1"/>
  <c r="E33" i="22"/>
  <c r="G33" i="22" s="1"/>
  <c r="E16" i="22"/>
  <c r="G16" i="22" s="1"/>
  <c r="E18" i="22"/>
  <c r="G18" i="22" s="1"/>
  <c r="E25" i="22"/>
  <c r="G25" i="22" s="1"/>
  <c r="E32" i="22"/>
  <c r="G32" i="22" s="1"/>
  <c r="E31" i="22"/>
  <c r="G31" i="22" s="1"/>
  <c r="E23" i="22"/>
  <c r="G23" i="22" s="1"/>
  <c r="E24" i="22"/>
  <c r="G24" i="22" s="1"/>
  <c r="E19" i="22"/>
  <c r="G19" i="22" s="1"/>
  <c r="E27" i="22"/>
  <c r="G27" i="22" s="1"/>
  <c r="E34" i="22"/>
  <c r="G34" i="22" s="1"/>
  <c r="E17" i="22"/>
  <c r="G17" i="22" s="1"/>
  <c r="E26" i="22"/>
  <c r="G26" i="22" s="1"/>
  <c r="E35" i="22"/>
  <c r="G35" i="22" s="1"/>
  <c r="E15" i="22"/>
  <c r="G15" i="22" s="1"/>
  <c r="K75" i="31"/>
  <c r="P75" i="31" s="1"/>
  <c r="I75" i="31"/>
  <c r="M75" i="31" s="1"/>
  <c r="J75" i="31"/>
  <c r="N75" i="31" s="1"/>
  <c r="O54" i="23"/>
  <c r="L54" i="23"/>
  <c r="P54" i="23" s="1"/>
  <c r="P28" i="20"/>
  <c r="C61" i="34"/>
  <c r="C56" i="35"/>
  <c r="C56" i="33"/>
  <c r="C58" i="32"/>
  <c r="K51" i="27"/>
  <c r="P51" i="27" s="1"/>
  <c r="I51" i="27"/>
  <c r="M51" i="27" s="1"/>
  <c r="J51" i="27"/>
  <c r="Q21" i="5"/>
  <c r="S21" i="5" s="1"/>
  <c r="T21" i="5" s="1"/>
  <c r="C69" i="34"/>
  <c r="C64" i="35"/>
  <c r="C64" i="33"/>
  <c r="C66" i="32"/>
  <c r="M47" i="17"/>
  <c r="I78" i="17"/>
  <c r="S22" i="4"/>
  <c r="T22" i="4" s="1"/>
  <c r="L60" i="23"/>
  <c r="P60" i="23" s="1"/>
  <c r="O60" i="23"/>
  <c r="N81" i="25"/>
  <c r="O13" i="10"/>
  <c r="Q13" i="10" s="1"/>
  <c r="K73" i="18"/>
  <c r="P42" i="18"/>
  <c r="N62" i="17"/>
  <c r="K62" i="17"/>
  <c r="P62" i="17" s="1"/>
  <c r="P40" i="14"/>
  <c r="S17" i="6"/>
  <c r="T17" i="6" s="1"/>
  <c r="O33" i="12"/>
  <c r="J58" i="12"/>
  <c r="Z23" i="4"/>
  <c r="AA23" i="4" s="1"/>
  <c r="K50" i="17"/>
  <c r="P50" i="17" s="1"/>
  <c r="N50" i="17"/>
  <c r="I69" i="24"/>
  <c r="M69" i="24" s="1"/>
  <c r="K69" i="24"/>
  <c r="P69" i="24" s="1"/>
  <c r="J69" i="24"/>
  <c r="O38" i="19"/>
  <c r="E20" i="22"/>
  <c r="G20" i="22" s="1"/>
  <c r="H93" i="1" s="1"/>
  <c r="L58" i="12"/>
  <c r="D22" i="15"/>
  <c r="F22" i="15" s="1"/>
  <c r="H33" i="1" s="1"/>
  <c r="D17" i="15"/>
  <c r="F17" i="15" s="1"/>
  <c r="D15" i="15"/>
  <c r="F15" i="15" s="1"/>
  <c r="D19" i="15"/>
  <c r="F19" i="15" s="1"/>
  <c r="D16" i="15"/>
  <c r="F16" i="15" s="1"/>
  <c r="D13" i="15"/>
  <c r="F13" i="15" s="1"/>
  <c r="D21" i="15"/>
  <c r="F21" i="15" s="1"/>
  <c r="D12" i="15"/>
  <c r="F12" i="15" s="1"/>
  <c r="D20" i="15"/>
  <c r="F20" i="15" s="1"/>
  <c r="D14" i="15"/>
  <c r="F14" i="15" s="1"/>
  <c r="D18" i="15"/>
  <c r="F18" i="15" s="1"/>
  <c r="K74" i="24"/>
  <c r="J74" i="24"/>
  <c r="I74" i="24"/>
  <c r="M74" i="24" s="1"/>
  <c r="Z19" i="5"/>
  <c r="AA19" i="5" s="1"/>
  <c r="M48" i="22"/>
  <c r="I79" i="22"/>
  <c r="I78" i="22"/>
  <c r="I17" i="22" s="1"/>
  <c r="K17" i="22" s="1"/>
  <c r="M17" i="22" s="1"/>
  <c r="N17" i="22" s="1"/>
  <c r="N46" i="18"/>
  <c r="K46" i="18"/>
  <c r="P46" i="18" s="1"/>
  <c r="P41" i="21"/>
  <c r="N58" i="22"/>
  <c r="N61" i="16"/>
  <c r="K61" i="16"/>
  <c r="J92" i="16"/>
  <c r="J74" i="18"/>
  <c r="K67" i="27"/>
  <c r="P67" i="27" s="1"/>
  <c r="J67" i="27"/>
  <c r="I67" i="27"/>
  <c r="M67" i="27" s="1"/>
  <c r="O36" i="13"/>
  <c r="K62" i="26"/>
  <c r="P62" i="26" s="1"/>
  <c r="J62" i="26"/>
  <c r="I62" i="26"/>
  <c r="M62" i="26" s="1"/>
  <c r="O33" i="19"/>
  <c r="J79" i="22"/>
  <c r="P71" i="25"/>
  <c r="Q36" i="11"/>
  <c r="Q33" i="11"/>
  <c r="Q19" i="11"/>
  <c r="Q16" i="11"/>
  <c r="Q28" i="11"/>
  <c r="Q25" i="11"/>
  <c r="Q32" i="11"/>
  <c r="Q27" i="11"/>
  <c r="Q23" i="11"/>
  <c r="Q18" i="11"/>
  <c r="Q14" i="11"/>
  <c r="Q35" i="11"/>
  <c r="Q26" i="11"/>
  <c r="Q17" i="11"/>
  <c r="Q29" i="11"/>
  <c r="Q24" i="11"/>
  <c r="Q20" i="11"/>
  <c r="Q15" i="11"/>
  <c r="Q38" i="11"/>
  <c r="Q34" i="11"/>
  <c r="Q37" i="11"/>
  <c r="I17" i="12"/>
  <c r="I15" i="12"/>
  <c r="I20" i="12"/>
  <c r="I14" i="12"/>
  <c r="I22" i="12"/>
  <c r="I19" i="12"/>
  <c r="I21" i="12"/>
  <c r="I18" i="12"/>
  <c r="I23" i="12"/>
  <c r="I16" i="12"/>
  <c r="I13" i="12"/>
  <c r="P50" i="19"/>
  <c r="L15" i="4"/>
  <c r="M15" i="4" s="1"/>
  <c r="O44" i="20"/>
  <c r="P15" i="25"/>
  <c r="R15" i="25" s="1"/>
  <c r="P16" i="25"/>
  <c r="R16" i="25" s="1"/>
  <c r="P49" i="25"/>
  <c r="R49" i="25" s="1"/>
  <c r="Q20" i="5"/>
  <c r="S20" i="5" s="1"/>
  <c r="T20" i="5" s="1"/>
  <c r="Z22" i="4"/>
  <c r="AA22" i="4" s="1"/>
  <c r="I68" i="27"/>
  <c r="M68" i="27" s="1"/>
  <c r="J68" i="27"/>
  <c r="N68" i="27" s="1"/>
  <c r="K68" i="27"/>
  <c r="P81" i="25"/>
  <c r="O39" i="12"/>
  <c r="O17" i="10"/>
  <c r="Q17" i="10" s="1"/>
  <c r="S17" i="10" s="1"/>
  <c r="T17" i="10" s="1"/>
  <c r="P40" i="13"/>
  <c r="N64" i="25"/>
  <c r="S12" i="6"/>
  <c r="T12" i="6" s="1"/>
  <c r="P33" i="12"/>
  <c r="O40" i="10"/>
  <c r="Q32" i="34"/>
  <c r="Q37" i="34"/>
  <c r="Q16" i="34"/>
  <c r="Q38" i="34"/>
  <c r="Q27" i="34"/>
  <c r="Q19" i="34"/>
  <c r="Q14" i="34"/>
  <c r="Q18" i="34"/>
  <c r="Q33" i="34"/>
  <c r="Q35" i="34"/>
  <c r="Q20" i="34"/>
  <c r="Q28" i="34"/>
  <c r="Q23" i="34"/>
  <c r="Q15" i="34"/>
  <c r="Q17" i="34"/>
  <c r="Q34" i="34"/>
  <c r="Q26" i="34"/>
  <c r="Q24" i="34"/>
  <c r="Q25" i="34"/>
  <c r="Q29" i="34"/>
  <c r="Q36" i="34"/>
  <c r="O46" i="19"/>
  <c r="W28" i="11"/>
  <c r="Y28" i="11" s="1"/>
  <c r="K50" i="29"/>
  <c r="J50" i="29"/>
  <c r="N50" i="29" s="1"/>
  <c r="I50" i="29"/>
  <c r="M50" i="29" s="1"/>
  <c r="S23" i="3"/>
  <c r="T23" i="3" s="1"/>
  <c r="H14" i="10"/>
  <c r="J14" i="10" s="1"/>
  <c r="L14" i="10" s="1"/>
  <c r="M14" i="10" s="1"/>
  <c r="J40" i="26"/>
  <c r="J37" i="26"/>
  <c r="J20" i="26"/>
  <c r="J17" i="26"/>
  <c r="J21" i="26"/>
  <c r="J35" i="26"/>
  <c r="J31" i="26"/>
  <c r="J26" i="26"/>
  <c r="J22" i="26"/>
  <c r="J19" i="26"/>
  <c r="J39" i="26"/>
  <c r="J25" i="26"/>
  <c r="J38" i="26"/>
  <c r="J16" i="26"/>
  <c r="J15" i="26"/>
  <c r="J32" i="26"/>
  <c r="J18" i="26"/>
  <c r="J36" i="26"/>
  <c r="J41" i="26"/>
  <c r="J27" i="26"/>
  <c r="J30" i="26"/>
  <c r="J29" i="26"/>
  <c r="J28" i="26"/>
  <c r="J42" i="26"/>
  <c r="O57" i="23"/>
  <c r="L57" i="23"/>
  <c r="P57" i="23" s="1"/>
  <c r="K63" i="27"/>
  <c r="J63" i="27"/>
  <c r="N63" i="27" s="1"/>
  <c r="I63" i="27"/>
  <c r="M63" i="27" s="1"/>
  <c r="Q67" i="34"/>
  <c r="Q62" i="33"/>
  <c r="Q62" i="35"/>
  <c r="Q64" i="32"/>
  <c r="K57" i="29"/>
  <c r="P57" i="29" s="1"/>
  <c r="J57" i="29"/>
  <c r="I57" i="29"/>
  <c r="M57" i="29" s="1"/>
  <c r="J70" i="27"/>
  <c r="N70" i="27" s="1"/>
  <c r="I70" i="27"/>
  <c r="M70" i="27" s="1"/>
  <c r="K70" i="27"/>
  <c r="O27" i="20"/>
  <c r="N62" i="18"/>
  <c r="K62" i="18"/>
  <c r="P62" i="18" s="1"/>
  <c r="J71" i="24"/>
  <c r="N71" i="24" s="1"/>
  <c r="K71" i="24"/>
  <c r="P71" i="24" s="1"/>
  <c r="I71" i="24"/>
  <c r="M71" i="24" s="1"/>
  <c r="M36" i="12"/>
  <c r="I58" i="12"/>
  <c r="G55" i="25"/>
  <c r="G55" i="24"/>
  <c r="K47" i="18"/>
  <c r="P47" i="18" s="1"/>
  <c r="N47" i="18"/>
  <c r="I59" i="26"/>
  <c r="M59" i="26" s="1"/>
  <c r="K59" i="26"/>
  <c r="P59" i="26" s="1"/>
  <c r="J59" i="26"/>
  <c r="V15" i="10"/>
  <c r="X15" i="10" s="1"/>
  <c r="M47" i="18"/>
  <c r="I74" i="18"/>
  <c r="J53" i="29"/>
  <c r="N53" i="29" s="1"/>
  <c r="I53" i="29"/>
  <c r="M53" i="29" s="1"/>
  <c r="K53" i="29"/>
  <c r="C57" i="32"/>
  <c r="C55" i="35"/>
  <c r="C60" i="34"/>
  <c r="C55" i="33"/>
  <c r="K59" i="27"/>
  <c r="I59" i="27"/>
  <c r="M59" i="27" s="1"/>
  <c r="J59" i="27"/>
  <c r="N59" i="27" s="1"/>
  <c r="P39" i="14"/>
  <c r="J80" i="24"/>
  <c r="I80" i="24"/>
  <c r="M80" i="24" s="1"/>
  <c r="K80" i="24"/>
  <c r="M25" i="20"/>
  <c r="I53" i="20"/>
  <c r="H17" i="20" s="1"/>
  <c r="J17" i="20" s="1"/>
  <c r="L17" i="20" s="1"/>
  <c r="M17" i="20" s="1"/>
  <c r="K65" i="31"/>
  <c r="P65" i="31" s="1"/>
  <c r="J65" i="31"/>
  <c r="I65" i="31"/>
  <c r="M65" i="31" s="1"/>
  <c r="H14" i="23"/>
  <c r="J14" i="23" s="1"/>
  <c r="H18" i="23"/>
  <c r="J18" i="23" s="1"/>
  <c r="H20" i="23"/>
  <c r="J20" i="23" s="1"/>
  <c r="H19" i="23"/>
  <c r="J19" i="23" s="1"/>
  <c r="L19" i="23" s="1"/>
  <c r="M19" i="23" s="1"/>
  <c r="H15" i="23"/>
  <c r="J15" i="23" s="1"/>
  <c r="H13" i="23"/>
  <c r="J13" i="23" s="1"/>
  <c r="H21" i="23"/>
  <c r="J21" i="23" s="1"/>
  <c r="H17" i="23"/>
  <c r="J17" i="23" s="1"/>
  <c r="H16" i="23"/>
  <c r="J16" i="23" s="1"/>
  <c r="K47" i="17"/>
  <c r="N47" i="17"/>
  <c r="J78" i="17"/>
  <c r="J16" i="5"/>
  <c r="L16" i="5" s="1"/>
  <c r="M16" i="5" s="1"/>
  <c r="O50" i="23"/>
  <c r="L50" i="23"/>
  <c r="P50" i="23" s="1"/>
  <c r="E34" i="17"/>
  <c r="G34" i="17" s="1"/>
  <c r="E23" i="17"/>
  <c r="G23" i="17" s="1"/>
  <c r="E25" i="17"/>
  <c r="G25" i="17" s="1"/>
  <c r="E28" i="17"/>
  <c r="G28" i="17" s="1"/>
  <c r="E38" i="17"/>
  <c r="G38" i="17" s="1"/>
  <c r="H41" i="1" s="1"/>
  <c r="E29" i="17"/>
  <c r="G29" i="17" s="1"/>
  <c r="H40" i="1" s="1"/>
  <c r="E32" i="17"/>
  <c r="G32" i="17" s="1"/>
  <c r="E17" i="17"/>
  <c r="G17" i="17" s="1"/>
  <c r="E36" i="17"/>
  <c r="G36" i="17" s="1"/>
  <c r="E33" i="17"/>
  <c r="G33" i="17" s="1"/>
  <c r="E15" i="17"/>
  <c r="G15" i="17" s="1"/>
  <c r="E20" i="17"/>
  <c r="G20" i="17" s="1"/>
  <c r="H39" i="1" s="1"/>
  <c r="E35" i="17"/>
  <c r="G35" i="17" s="1"/>
  <c r="E27" i="17"/>
  <c r="G27" i="17" s="1"/>
  <c r="E18" i="17"/>
  <c r="G18" i="17" s="1"/>
  <c r="E19" i="17"/>
  <c r="G19" i="17" s="1"/>
  <c r="E37" i="17"/>
  <c r="G37" i="17" s="1"/>
  <c r="E24" i="17"/>
  <c r="G24" i="17" s="1"/>
  <c r="E26" i="17"/>
  <c r="G26" i="17" s="1"/>
  <c r="E16" i="17"/>
  <c r="G16" i="17" s="1"/>
  <c r="E14" i="17"/>
  <c r="G14" i="17" s="1"/>
  <c r="J64" i="28"/>
  <c r="K64" i="28"/>
  <c r="P64" i="28" s="1"/>
  <c r="I64" i="28"/>
  <c r="M64" i="28" s="1"/>
  <c r="O39" i="19"/>
  <c r="O16" i="10"/>
  <c r="Q16" i="10" s="1"/>
  <c r="N66" i="25"/>
  <c r="S21" i="6"/>
  <c r="T21" i="6" s="1"/>
  <c r="S24" i="6"/>
  <c r="T24" i="6" s="1"/>
  <c r="W36" i="11"/>
  <c r="Y36" i="11" s="1"/>
  <c r="K64" i="31"/>
  <c r="J64" i="31"/>
  <c r="N64" i="31" s="1"/>
  <c r="I64" i="31"/>
  <c r="M64" i="31" s="1"/>
  <c r="O29" i="10"/>
  <c r="O15" i="10"/>
  <c r="Q15" i="10" s="1"/>
  <c r="S15" i="10" s="1"/>
  <c r="T15" i="10" s="1"/>
  <c r="O20" i="10"/>
  <c r="Q20" i="10" s="1"/>
  <c r="O18" i="10"/>
  <c r="Q18" i="10" s="1"/>
  <c r="O12" i="10"/>
  <c r="Q12" i="10" s="1"/>
  <c r="I56" i="26"/>
  <c r="M56" i="26" s="1"/>
  <c r="J56" i="26"/>
  <c r="N56" i="26" s="1"/>
  <c r="K56" i="26"/>
  <c r="L58" i="13"/>
  <c r="N60" i="18"/>
  <c r="K60" i="18"/>
  <c r="P60" i="18" s="1"/>
  <c r="P49" i="15"/>
  <c r="P41" i="19"/>
  <c r="X33" i="29"/>
  <c r="X18" i="29"/>
  <c r="X31" i="29"/>
  <c r="X16" i="29"/>
  <c r="X23" i="29"/>
  <c r="X15" i="29"/>
  <c r="X32" i="29"/>
  <c r="X14" i="29"/>
  <c r="X22" i="29"/>
  <c r="X26" i="29"/>
  <c r="X30" i="29"/>
  <c r="X35" i="29"/>
  <c r="X25" i="29"/>
  <c r="X27" i="29"/>
  <c r="X19" i="29"/>
  <c r="X17" i="29"/>
  <c r="X34" i="29"/>
  <c r="X24" i="29"/>
  <c r="O38" i="13"/>
  <c r="Z21" i="5"/>
  <c r="AA21" i="5" s="1"/>
  <c r="S20" i="9"/>
  <c r="T20" i="9" s="1"/>
  <c r="P43" i="18"/>
  <c r="J33" i="28"/>
  <c r="J34" i="28"/>
  <c r="J23" i="28"/>
  <c r="J25" i="28"/>
  <c r="J26" i="28"/>
  <c r="J18" i="28"/>
  <c r="J32" i="28"/>
  <c r="J27" i="28"/>
  <c r="J37" i="28"/>
  <c r="J24" i="28"/>
  <c r="J38" i="28"/>
  <c r="J17" i="28"/>
  <c r="J29" i="28"/>
  <c r="J16" i="28"/>
  <c r="J14" i="28"/>
  <c r="J36" i="28"/>
  <c r="J19" i="28"/>
  <c r="J35" i="28"/>
  <c r="J28" i="28"/>
  <c r="J20" i="28"/>
  <c r="J15" i="28"/>
  <c r="Q14" i="5"/>
  <c r="S14" i="5" s="1"/>
  <c r="T14" i="5" s="1"/>
  <c r="K48" i="28"/>
  <c r="J48" i="28"/>
  <c r="I48" i="28"/>
  <c r="M48" i="28" s="1"/>
  <c r="L59" i="23"/>
  <c r="P59" i="23" s="1"/>
  <c r="O59" i="23"/>
  <c r="I60" i="26"/>
  <c r="M60" i="26" s="1"/>
  <c r="K60" i="26"/>
  <c r="J60" i="26"/>
  <c r="N60" i="26" s="1"/>
  <c r="P63" i="25"/>
  <c r="K61" i="27"/>
  <c r="J61" i="27"/>
  <c r="I61" i="27"/>
  <c r="M61" i="27" s="1"/>
  <c r="O33" i="13"/>
  <c r="P34" i="19"/>
  <c r="P38" i="21"/>
  <c r="N79" i="16"/>
  <c r="K79" i="16"/>
  <c r="P79" i="16" s="1"/>
  <c r="E17" i="25"/>
  <c r="G17" i="25" s="1"/>
  <c r="E43" i="25"/>
  <c r="G43" i="25" s="1"/>
  <c r="E36" i="25"/>
  <c r="G36" i="25" s="1"/>
  <c r="X22" i="6"/>
  <c r="Z22" i="6" s="1"/>
  <c r="AA22" i="6" s="1"/>
  <c r="K66" i="28"/>
  <c r="J66" i="28"/>
  <c r="I66" i="28"/>
  <c r="M66" i="28" s="1"/>
  <c r="P70" i="31"/>
  <c r="P42" i="20"/>
  <c r="Q16" i="5"/>
  <c r="S15" i="9"/>
  <c r="T15" i="9" s="1"/>
  <c r="C57" i="35"/>
  <c r="C57" i="33"/>
  <c r="C59" i="32"/>
  <c r="C62" i="34"/>
  <c r="R16" i="1"/>
  <c r="C68" i="34"/>
  <c r="C63" i="33"/>
  <c r="C65" i="32"/>
  <c r="C63" i="35"/>
  <c r="Z13" i="8"/>
  <c r="AA13" i="8" s="1"/>
  <c r="O31" i="20"/>
  <c r="X36" i="17"/>
  <c r="X33" i="17"/>
  <c r="X19" i="17"/>
  <c r="X16" i="17"/>
  <c r="X35" i="17"/>
  <c r="X18" i="17"/>
  <c r="X29" i="17"/>
  <c r="X14" i="17"/>
  <c r="X26" i="17"/>
  <c r="X25" i="17"/>
  <c r="X38" i="17"/>
  <c r="X28" i="17"/>
  <c r="X23" i="17"/>
  <c r="X20" i="17"/>
  <c r="X15" i="17"/>
  <c r="X37" i="17"/>
  <c r="X24" i="17"/>
  <c r="X17" i="17"/>
  <c r="X27" i="17"/>
  <c r="X34" i="17"/>
  <c r="X32" i="17"/>
  <c r="J72" i="31"/>
  <c r="N72" i="31" s="1"/>
  <c r="K72" i="31"/>
  <c r="P72" i="31" s="1"/>
  <c r="I72" i="31"/>
  <c r="M72" i="31" s="1"/>
  <c r="F22" i="14"/>
  <c r="D15" i="23"/>
  <c r="F15" i="23" s="1"/>
  <c r="D21" i="23"/>
  <c r="F21" i="23" s="1"/>
  <c r="H97" i="1" s="1"/>
  <c r="D16" i="23"/>
  <c r="F16" i="23" s="1"/>
  <c r="D20" i="23"/>
  <c r="F20" i="23" s="1"/>
  <c r="D17" i="23"/>
  <c r="F17" i="23" s="1"/>
  <c r="D13" i="23"/>
  <c r="F13" i="23" s="1"/>
  <c r="D14" i="23"/>
  <c r="F14" i="23" s="1"/>
  <c r="D19" i="23"/>
  <c r="F19" i="23" s="1"/>
  <c r="D18" i="23"/>
  <c r="F18" i="23" s="1"/>
  <c r="S14" i="4"/>
  <c r="T14" i="4" s="1"/>
  <c r="X19" i="3"/>
  <c r="Z19" i="3" s="1"/>
  <c r="AA19" i="3" s="1"/>
  <c r="H17" i="10"/>
  <c r="J17" i="10" s="1"/>
  <c r="L17" i="10" s="1"/>
  <c r="M17" i="10" s="1"/>
  <c r="W14" i="12"/>
  <c r="W19" i="12"/>
  <c r="W17" i="12"/>
  <c r="W22" i="12"/>
  <c r="W20" i="12"/>
  <c r="W21" i="12"/>
  <c r="W18" i="12"/>
  <c r="W15" i="12"/>
  <c r="W16" i="12"/>
  <c r="W13" i="12"/>
  <c r="W23" i="12"/>
  <c r="L14" i="8"/>
  <c r="M14" i="8" s="1"/>
  <c r="P16" i="18"/>
  <c r="R16" i="18" s="1"/>
  <c r="P25" i="18"/>
  <c r="R25" i="18" s="1"/>
  <c r="P36" i="18"/>
  <c r="R36" i="18" s="1"/>
  <c r="P31" i="18"/>
  <c r="R31" i="18" s="1"/>
  <c r="T31" i="18" s="1"/>
  <c r="U31" i="18" s="1"/>
  <c r="P27" i="18"/>
  <c r="R27" i="18" s="1"/>
  <c r="P18" i="18"/>
  <c r="R18" i="18" s="1"/>
  <c r="P34" i="18"/>
  <c r="R34" i="18" s="1"/>
  <c r="T34" i="18" s="1"/>
  <c r="U34" i="18" s="1"/>
  <c r="P33" i="18"/>
  <c r="R33" i="18" s="1"/>
  <c r="P20" i="18"/>
  <c r="R20" i="18" s="1"/>
  <c r="P32" i="18"/>
  <c r="R32" i="18" s="1"/>
  <c r="T32" i="18" s="1"/>
  <c r="U32" i="18" s="1"/>
  <c r="P19" i="18"/>
  <c r="R19" i="18" s="1"/>
  <c r="P17" i="18"/>
  <c r="R17" i="18" s="1"/>
  <c r="P28" i="18"/>
  <c r="R28" i="18" s="1"/>
  <c r="P26" i="18"/>
  <c r="R26" i="18" s="1"/>
  <c r="P24" i="18"/>
  <c r="R24" i="18" s="1"/>
  <c r="P15" i="18"/>
  <c r="R15" i="18" s="1"/>
  <c r="P23" i="18"/>
  <c r="R23" i="18" s="1"/>
  <c r="P35" i="18"/>
  <c r="R35" i="18" s="1"/>
  <c r="S13" i="2"/>
  <c r="T13" i="2" s="1"/>
  <c r="X14" i="9"/>
  <c r="Z20" i="9"/>
  <c r="AA20" i="9" s="1"/>
  <c r="K71" i="31"/>
  <c r="P71" i="31" s="1"/>
  <c r="J71" i="31"/>
  <c r="N71" i="31" s="1"/>
  <c r="I71" i="31"/>
  <c r="M71" i="31" s="1"/>
  <c r="O40" i="21"/>
  <c r="P39" i="15"/>
  <c r="Z17" i="5"/>
  <c r="AA17" i="5" s="1"/>
  <c r="N58" i="29"/>
  <c r="O38" i="14"/>
  <c r="O47" i="23"/>
  <c r="L47" i="23"/>
  <c r="P47" i="23" s="1"/>
  <c r="P37" i="20"/>
  <c r="P47" i="21"/>
  <c r="O43" i="15"/>
  <c r="K51" i="17"/>
  <c r="P51" i="17" s="1"/>
  <c r="N51" i="17"/>
  <c r="S22" i="6"/>
  <c r="T22" i="6" s="1"/>
  <c r="Q31" i="29"/>
  <c r="Q35" i="29"/>
  <c r="Q26" i="29"/>
  <c r="Q18" i="29"/>
  <c r="Q23" i="29"/>
  <c r="Q34" i="29"/>
  <c r="Q30" i="29"/>
  <c r="Q15" i="29"/>
  <c r="Q16" i="29"/>
  <c r="Q19" i="29"/>
  <c r="Q17" i="29"/>
  <c r="Q27" i="29"/>
  <c r="Q14" i="29"/>
  <c r="Q33" i="29"/>
  <c r="Q25" i="29"/>
  <c r="Q24" i="29"/>
  <c r="Q22" i="29"/>
  <c r="Q32" i="29"/>
  <c r="S12" i="4"/>
  <c r="T12" i="4" s="1"/>
  <c r="P38" i="13"/>
  <c r="P61" i="11"/>
  <c r="J19" i="6"/>
  <c r="L19" i="6" s="1"/>
  <c r="M19" i="6" s="1"/>
  <c r="P59" i="22"/>
  <c r="O29" i="21"/>
  <c r="D19" i="19"/>
  <c r="F19" i="19" s="1"/>
  <c r="D15" i="19"/>
  <c r="F15" i="19" s="1"/>
  <c r="D22" i="19"/>
  <c r="F22" i="19" s="1"/>
  <c r="D16" i="19"/>
  <c r="F16" i="19" s="1"/>
  <c r="D13" i="19"/>
  <c r="F13" i="19" s="1"/>
  <c r="D21" i="19"/>
  <c r="F21" i="19" s="1"/>
  <c r="D20" i="19"/>
  <c r="F20" i="19" s="1"/>
  <c r="D14" i="19"/>
  <c r="F14" i="19" s="1"/>
  <c r="D23" i="19"/>
  <c r="F23" i="19" s="1"/>
  <c r="H87" i="1" s="1"/>
  <c r="D18" i="19"/>
  <c r="F18" i="19" s="1"/>
  <c r="D17" i="19"/>
  <c r="F17" i="19" s="1"/>
  <c r="N56" i="22"/>
  <c r="X24" i="5"/>
  <c r="K58" i="31"/>
  <c r="I58" i="31"/>
  <c r="M58" i="31" s="1"/>
  <c r="J58" i="31"/>
  <c r="N58" i="31" s="1"/>
  <c r="S24" i="7"/>
  <c r="T24" i="7" s="1"/>
  <c r="K60" i="27"/>
  <c r="J60" i="27"/>
  <c r="N60" i="27" s="1"/>
  <c r="I60" i="27"/>
  <c r="M60" i="27" s="1"/>
  <c r="I57" i="28"/>
  <c r="M57" i="28" s="1"/>
  <c r="K57" i="28"/>
  <c r="P57" i="28" s="1"/>
  <c r="J57" i="28"/>
  <c r="P60" i="11"/>
  <c r="I62" i="31"/>
  <c r="M62" i="31" s="1"/>
  <c r="K62" i="31"/>
  <c r="J62" i="31"/>
  <c r="E45" i="25"/>
  <c r="G45" i="25" s="1"/>
  <c r="E18" i="25"/>
  <c r="G18" i="25" s="1"/>
  <c r="Z21" i="6"/>
  <c r="AA21" i="6" s="1"/>
  <c r="O45" i="23"/>
  <c r="L45" i="23"/>
  <c r="P45" i="23" s="1"/>
  <c r="Z24" i="7"/>
  <c r="AA24" i="7" s="1"/>
  <c r="J82" i="24"/>
  <c r="K82" i="24"/>
  <c r="I82" i="24"/>
  <c r="M82" i="24" s="1"/>
  <c r="S17" i="4"/>
  <c r="T17" i="4" s="1"/>
  <c r="L49" i="23"/>
  <c r="P49" i="23" s="1"/>
  <c r="O49" i="23"/>
  <c r="Q12" i="9"/>
  <c r="S12" i="9" s="1"/>
  <c r="T12" i="9" s="1"/>
  <c r="Q22" i="9"/>
  <c r="S22" i="9" s="1"/>
  <c r="T22" i="9" s="1"/>
  <c r="O39" i="21"/>
  <c r="P34" i="21"/>
  <c r="N68" i="25"/>
  <c r="L14" i="3"/>
  <c r="M14" i="3" s="1"/>
  <c r="F17" i="14"/>
  <c r="J44" i="23"/>
  <c r="M44" i="23"/>
  <c r="L53" i="23"/>
  <c r="P53" i="23" s="1"/>
  <c r="O53" i="23"/>
  <c r="X16" i="3"/>
  <c r="Z16" i="3" s="1"/>
  <c r="AA16" i="3" s="1"/>
  <c r="H19" i="10"/>
  <c r="J19" i="10" s="1"/>
  <c r="L19" i="10" s="1"/>
  <c r="M19" i="10" s="1"/>
  <c r="K72" i="18"/>
  <c r="P41" i="18"/>
  <c r="S25" i="2"/>
  <c r="T25" i="2" s="1"/>
  <c r="N12" i="1"/>
  <c r="O12" i="1" s="1"/>
  <c r="P12" i="1" s="1"/>
  <c r="Z19" i="9"/>
  <c r="AA19" i="9" s="1"/>
  <c r="V17" i="20"/>
  <c r="X17" i="20" s="1"/>
  <c r="V18" i="20"/>
  <c r="X18" i="20" s="1"/>
  <c r="V14" i="20"/>
  <c r="X14" i="20" s="1"/>
  <c r="V16" i="20"/>
  <c r="X16" i="20" s="1"/>
  <c r="V13" i="20"/>
  <c r="X13" i="20" s="1"/>
  <c r="V15" i="20"/>
  <c r="X15" i="20" s="1"/>
  <c r="K59" i="18"/>
  <c r="P59" i="18" s="1"/>
  <c r="N59" i="18"/>
  <c r="P72" i="25"/>
  <c r="S18" i="4"/>
  <c r="T18" i="4" s="1"/>
  <c r="X31" i="26"/>
  <c r="X28" i="26"/>
  <c r="X25" i="26"/>
  <c r="X42" i="26"/>
  <c r="X40" i="26"/>
  <c r="X27" i="26"/>
  <c r="X38" i="26"/>
  <c r="X20" i="26"/>
  <c r="X29" i="26"/>
  <c r="X32" i="26"/>
  <c r="X18" i="26"/>
  <c r="X17" i="26"/>
  <c r="X30" i="26"/>
  <c r="X35" i="26"/>
  <c r="X41" i="26"/>
  <c r="X19" i="26"/>
  <c r="X21" i="26"/>
  <c r="X39" i="26"/>
  <c r="X37" i="26"/>
  <c r="X26" i="26"/>
  <c r="X15" i="26"/>
  <c r="X36" i="26"/>
  <c r="X16" i="26"/>
  <c r="X22" i="26"/>
  <c r="Q36" i="25"/>
  <c r="Q23" i="25"/>
  <c r="Q22" i="25"/>
  <c r="Q24" i="25"/>
  <c r="Q46" i="25"/>
  <c r="Q25" i="25"/>
  <c r="Q48" i="25"/>
  <c r="Q34" i="25"/>
  <c r="Q32" i="25"/>
  <c r="Q20" i="25"/>
  <c r="Q18" i="25"/>
  <c r="Q51" i="25"/>
  <c r="Q37" i="25"/>
  <c r="Q21" i="25"/>
  <c r="Q50" i="25"/>
  <c r="Q33" i="25"/>
  <c r="Q15" i="25"/>
  <c r="Q47" i="25"/>
  <c r="Q45" i="25"/>
  <c r="Q38" i="25"/>
  <c r="Q30" i="25"/>
  <c r="Q44" i="25"/>
  <c r="Q31" i="25"/>
  <c r="Q19" i="25"/>
  <c r="Q49" i="25"/>
  <c r="Q41" i="25"/>
  <c r="Q42" i="25"/>
  <c r="Q43" i="25"/>
  <c r="Q17" i="25"/>
  <c r="Q16" i="25"/>
  <c r="Q35" i="25"/>
  <c r="Q29" i="25"/>
  <c r="Q28" i="25"/>
  <c r="F19" i="14"/>
  <c r="N52" i="22"/>
  <c r="S16" i="2"/>
  <c r="T16" i="2" s="1"/>
  <c r="X23" i="3"/>
  <c r="Z23" i="3" s="1"/>
  <c r="AA23" i="3" s="1"/>
  <c r="X13" i="3"/>
  <c r="Z13" i="3" s="1"/>
  <c r="AA13" i="3" s="1"/>
  <c r="K53" i="26"/>
  <c r="J53" i="26"/>
  <c r="N53" i="26" s="1"/>
  <c r="I53" i="26"/>
  <c r="M53" i="26" s="1"/>
  <c r="X22" i="9"/>
  <c r="Z22" i="9" s="1"/>
  <c r="AA22" i="9" s="1"/>
  <c r="Q52" i="34"/>
  <c r="Q47" i="33"/>
  <c r="Q49" i="32"/>
  <c r="Q47" i="35"/>
  <c r="K49" i="18"/>
  <c r="P49" i="18" s="1"/>
  <c r="N49" i="18"/>
  <c r="I58" i="27"/>
  <c r="M58" i="27" s="1"/>
  <c r="K58" i="27"/>
  <c r="J58" i="27"/>
  <c r="N58" i="27" s="1"/>
  <c r="I68" i="24"/>
  <c r="M68" i="24" s="1"/>
  <c r="K68" i="24"/>
  <c r="J68" i="24"/>
  <c r="N68" i="24" s="1"/>
  <c r="Q23" i="5"/>
  <c r="K58" i="18"/>
  <c r="P58" i="18" s="1"/>
  <c r="N58" i="18"/>
  <c r="N48" i="17"/>
  <c r="K48" i="17"/>
  <c r="P48" i="17" s="1"/>
  <c r="G19" i="25"/>
  <c r="G44" i="25"/>
  <c r="G41" i="25"/>
  <c r="X35" i="34"/>
  <c r="X38" i="34"/>
  <c r="X27" i="34"/>
  <c r="X24" i="34"/>
  <c r="X18" i="34"/>
  <c r="X32" i="34"/>
  <c r="X14" i="34"/>
  <c r="X20" i="34"/>
  <c r="X15" i="34"/>
  <c r="X17" i="34"/>
  <c r="X23" i="34"/>
  <c r="X37" i="34"/>
  <c r="X19" i="34"/>
  <c r="X28" i="34"/>
  <c r="X25" i="34"/>
  <c r="X26" i="34"/>
  <c r="X33" i="34"/>
  <c r="X34" i="34"/>
  <c r="X29" i="34"/>
  <c r="X36" i="34"/>
  <c r="X16" i="34"/>
  <c r="O27" i="21"/>
  <c r="J60" i="21"/>
  <c r="J59" i="21"/>
  <c r="K50" i="26"/>
  <c r="J50" i="26"/>
  <c r="G80" i="26"/>
  <c r="I50" i="26"/>
  <c r="P57" i="22"/>
  <c r="Z25" i="7"/>
  <c r="AA25" i="7" s="1"/>
  <c r="R19" i="1"/>
  <c r="Z23" i="7"/>
  <c r="AA23" i="7" s="1"/>
  <c r="N55" i="17"/>
  <c r="K55" i="17"/>
  <c r="P55" i="17" s="1"/>
  <c r="K56" i="29"/>
  <c r="I56" i="29"/>
  <c r="M56" i="29" s="1"/>
  <c r="J56" i="29"/>
  <c r="N56" i="29" s="1"/>
  <c r="N52" i="17"/>
  <c r="K52" i="17"/>
  <c r="P52" i="17" s="1"/>
  <c r="Z13" i="5"/>
  <c r="AA13" i="5" s="1"/>
  <c r="O31" i="15"/>
  <c r="X20" i="4"/>
  <c r="Z20" i="4" s="1"/>
  <c r="AA20" i="4" s="1"/>
  <c r="N64" i="22"/>
  <c r="C49" i="35"/>
  <c r="C54" i="34"/>
  <c r="C49" i="33"/>
  <c r="C51" i="32"/>
  <c r="N48" i="22"/>
  <c r="O55" i="23"/>
  <c r="L55" i="23"/>
  <c r="P55" i="23" s="1"/>
  <c r="F20" i="14"/>
  <c r="X25" i="3"/>
  <c r="H18" i="10"/>
  <c r="J18" i="10" s="1"/>
  <c r="L18" i="10" s="1"/>
  <c r="M18" i="10" s="1"/>
  <c r="D16" i="12"/>
  <c r="F16" i="12" s="1"/>
  <c r="D21" i="12"/>
  <c r="F21" i="12" s="1"/>
  <c r="D19" i="12"/>
  <c r="F19" i="12" s="1"/>
  <c r="D18" i="12"/>
  <c r="F18" i="12" s="1"/>
  <c r="D15" i="12"/>
  <c r="F15" i="12" s="1"/>
  <c r="D14" i="12"/>
  <c r="F14" i="12" s="1"/>
  <c r="D13" i="12"/>
  <c r="F13" i="12" s="1"/>
  <c r="D22" i="12"/>
  <c r="F22" i="12" s="1"/>
  <c r="D23" i="12"/>
  <c r="F23" i="12" s="1"/>
  <c r="H30" i="1" s="1"/>
  <c r="D17" i="12"/>
  <c r="F17" i="12" s="1"/>
  <c r="D20" i="12"/>
  <c r="F20" i="12" s="1"/>
  <c r="K49" i="28"/>
  <c r="P49" i="28" s="1"/>
  <c r="J49" i="28"/>
  <c r="N49" i="28" s="1"/>
  <c r="I49" i="28"/>
  <c r="M49" i="28" s="1"/>
  <c r="X24" i="9"/>
  <c r="Z24" i="9" s="1"/>
  <c r="AA24" i="9" s="1"/>
  <c r="X23" i="9"/>
  <c r="P45" i="21"/>
  <c r="Z15" i="8"/>
  <c r="AA15" i="8" s="1"/>
  <c r="N63" i="11"/>
  <c r="P35" i="10"/>
  <c r="I27" i="18"/>
  <c r="K27" i="18" s="1"/>
  <c r="M27" i="18" s="1"/>
  <c r="N27" i="18" s="1"/>
  <c r="I24" i="18"/>
  <c r="K24" i="18" s="1"/>
  <c r="M24" i="18" s="1"/>
  <c r="N24" i="18" s="1"/>
  <c r="I35" i="18"/>
  <c r="K35" i="18" s="1"/>
  <c r="M35" i="18" s="1"/>
  <c r="N35" i="18" s="1"/>
  <c r="I33" i="18"/>
  <c r="K33" i="18" s="1"/>
  <c r="M33" i="18" s="1"/>
  <c r="N33" i="18" s="1"/>
  <c r="I17" i="18"/>
  <c r="K17" i="18" s="1"/>
  <c r="M17" i="18" s="1"/>
  <c r="N17" i="18" s="1"/>
  <c r="I32" i="18"/>
  <c r="K32" i="18" s="1"/>
  <c r="M32" i="18" s="1"/>
  <c r="N32" i="18" s="1"/>
  <c r="I23" i="18"/>
  <c r="K23" i="18" s="1"/>
  <c r="M23" i="18" s="1"/>
  <c r="N23" i="18" s="1"/>
  <c r="I19" i="18"/>
  <c r="K19" i="18" s="1"/>
  <c r="M19" i="18" s="1"/>
  <c r="N19" i="18" s="1"/>
  <c r="I36" i="18"/>
  <c r="K36" i="18" s="1"/>
  <c r="I34" i="18"/>
  <c r="K34" i="18" s="1"/>
  <c r="M34" i="18" s="1"/>
  <c r="N34" i="18" s="1"/>
  <c r="I25" i="18"/>
  <c r="K25" i="18" s="1"/>
  <c r="M25" i="18" s="1"/>
  <c r="N25" i="18" s="1"/>
  <c r="I15" i="18"/>
  <c r="K15" i="18" s="1"/>
  <c r="M15" i="18" s="1"/>
  <c r="N15" i="18" s="1"/>
  <c r="I16" i="18"/>
  <c r="K16" i="18" s="1"/>
  <c r="M16" i="18" s="1"/>
  <c r="N16" i="18" s="1"/>
  <c r="I26" i="18"/>
  <c r="K26" i="18" s="1"/>
  <c r="M26" i="18" s="1"/>
  <c r="N26" i="18" s="1"/>
  <c r="I20" i="18"/>
  <c r="K20" i="18" s="1"/>
  <c r="I28" i="18"/>
  <c r="K28" i="18" s="1"/>
  <c r="I31" i="18"/>
  <c r="K31" i="18" s="1"/>
  <c r="M31" i="18" s="1"/>
  <c r="N31" i="18" s="1"/>
  <c r="I18" i="18"/>
  <c r="K18" i="18" s="1"/>
  <c r="M18" i="18" s="1"/>
  <c r="N18" i="18" s="1"/>
  <c r="K54" i="27"/>
  <c r="P54" i="27" s="1"/>
  <c r="J54" i="27"/>
  <c r="N54" i="27" s="1"/>
  <c r="I54" i="27"/>
  <c r="M54" i="27" s="1"/>
  <c r="Q45" i="35"/>
  <c r="Q45" i="33"/>
  <c r="Q50" i="34"/>
  <c r="Q47" i="32"/>
  <c r="P36" i="20"/>
  <c r="Q46" i="30"/>
  <c r="Q43" i="30"/>
  <c r="Q40" i="30"/>
  <c r="Q23" i="30"/>
  <c r="Q20" i="30"/>
  <c r="Q17" i="30"/>
  <c r="Q36" i="30"/>
  <c r="Q44" i="30"/>
  <c r="Q47" i="30"/>
  <c r="Q34" i="30"/>
  <c r="Q16" i="30"/>
  <c r="Q42" i="30"/>
  <c r="Q30" i="30"/>
  <c r="Q22" i="30"/>
  <c r="Q41" i="30"/>
  <c r="Q29" i="30"/>
  <c r="Q24" i="30"/>
  <c r="Q19" i="30"/>
  <c r="Q15" i="30"/>
  <c r="Q39" i="30"/>
  <c r="Q32" i="30"/>
  <c r="Q35" i="30"/>
  <c r="Q33" i="30"/>
  <c r="Q27" i="30"/>
  <c r="Q48" i="30"/>
  <c r="Q18" i="30"/>
  <c r="Q28" i="30"/>
  <c r="Q21" i="30"/>
  <c r="Q45" i="30"/>
  <c r="Q31" i="30"/>
  <c r="K63" i="26"/>
  <c r="J63" i="26"/>
  <c r="N63" i="26" s="1"/>
  <c r="I63" i="26"/>
  <c r="M63" i="26" s="1"/>
  <c r="P39" i="12"/>
  <c r="S16" i="4"/>
  <c r="T16" i="4" s="1"/>
  <c r="P66" i="25"/>
  <c r="L12" i="5"/>
  <c r="M12" i="5" s="1"/>
  <c r="J29" i="11"/>
  <c r="J26" i="11"/>
  <c r="J23" i="11"/>
  <c r="J37" i="11"/>
  <c r="J28" i="11"/>
  <c r="J33" i="11"/>
  <c r="J24" i="11"/>
  <c r="J19" i="11"/>
  <c r="J15" i="11"/>
  <c r="J36" i="11"/>
  <c r="J27" i="11"/>
  <c r="J32" i="11"/>
  <c r="J18" i="11"/>
  <c r="J20" i="11"/>
  <c r="J34" i="11"/>
  <c r="J16" i="11"/>
  <c r="J35" i="11"/>
  <c r="J17" i="11"/>
  <c r="J14" i="11"/>
  <c r="J38" i="11"/>
  <c r="J25" i="11"/>
  <c r="C59" i="35"/>
  <c r="C64" i="34"/>
  <c r="C59" i="33"/>
  <c r="C61" i="32"/>
  <c r="O40" i="15"/>
  <c r="J35" i="16"/>
  <c r="J30" i="16"/>
  <c r="J29" i="16"/>
  <c r="J21" i="16"/>
  <c r="J38" i="16"/>
  <c r="J39" i="16"/>
  <c r="J23" i="16"/>
  <c r="J31" i="16"/>
  <c r="J43" i="16"/>
  <c r="J36" i="16"/>
  <c r="J19" i="16"/>
  <c r="J32" i="16"/>
  <c r="J49" i="16"/>
  <c r="J45" i="16"/>
  <c r="J25" i="16"/>
  <c r="J17" i="16"/>
  <c r="J20" i="16"/>
  <c r="J22" i="16"/>
  <c r="J51" i="16"/>
  <c r="J52" i="16"/>
  <c r="J42" i="16"/>
  <c r="J37" i="16"/>
  <c r="J48" i="16"/>
  <c r="J26" i="16"/>
  <c r="J16" i="16"/>
  <c r="J34" i="16"/>
  <c r="J24" i="16"/>
  <c r="J18" i="16"/>
  <c r="J47" i="16"/>
  <c r="J44" i="16"/>
  <c r="J50" i="16"/>
  <c r="J46" i="16"/>
  <c r="J33" i="16"/>
  <c r="N18" i="1"/>
  <c r="S25" i="6"/>
  <c r="T25" i="6" s="1"/>
  <c r="S19" i="6"/>
  <c r="T19" i="6" s="1"/>
  <c r="Q13" i="5"/>
  <c r="K57" i="17"/>
  <c r="P57" i="17" s="1"/>
  <c r="N57" i="17"/>
  <c r="P75" i="25"/>
  <c r="I55" i="27"/>
  <c r="M55" i="27" s="1"/>
  <c r="J55" i="27"/>
  <c r="K55" i="27"/>
  <c r="J67" i="26"/>
  <c r="N67" i="26" s="1"/>
  <c r="K67" i="26"/>
  <c r="I67" i="26"/>
  <c r="M67" i="26" s="1"/>
  <c r="Z16" i="8"/>
  <c r="AA16" i="8" s="1"/>
  <c r="Q51" i="35"/>
  <c r="Q56" i="34"/>
  <c r="Q53" i="32"/>
  <c r="Q51" i="33"/>
  <c r="S20" i="7"/>
  <c r="T20" i="7" s="1"/>
  <c r="P33" i="20"/>
  <c r="P32" i="15"/>
  <c r="N82" i="25"/>
  <c r="K81" i="16"/>
  <c r="P81" i="16" s="1"/>
  <c r="N81" i="16"/>
  <c r="Q19" i="4"/>
  <c r="K52" i="29"/>
  <c r="P52" i="29" s="1"/>
  <c r="J52" i="29"/>
  <c r="I52" i="29"/>
  <c r="M52" i="29" s="1"/>
  <c r="J52" i="28"/>
  <c r="I52" i="28"/>
  <c r="M52" i="28" s="1"/>
  <c r="K52" i="28"/>
  <c r="P52" i="28" s="1"/>
  <c r="E31" i="25"/>
  <c r="G31" i="25" s="1"/>
  <c r="E15" i="25"/>
  <c r="G15" i="25" s="1"/>
  <c r="E20" i="25"/>
  <c r="G20" i="25" s="1"/>
  <c r="C57" i="34"/>
  <c r="C52" i="33"/>
  <c r="C52" i="35"/>
  <c r="C54" i="32"/>
  <c r="Q38" i="16"/>
  <c r="Q29" i="16"/>
  <c r="Q45" i="16"/>
  <c r="Q32" i="16"/>
  <c r="Q22" i="16"/>
  <c r="Q42" i="16"/>
  <c r="Q25" i="16"/>
  <c r="Q35" i="16"/>
  <c r="Q48" i="16"/>
  <c r="Q21" i="16"/>
  <c r="Q19" i="16"/>
  <c r="Q39" i="16"/>
  <c r="Q44" i="16"/>
  <c r="Q30" i="16"/>
  <c r="Q50" i="16"/>
  <c r="Q33" i="16"/>
  <c r="Q52" i="16"/>
  <c r="Q46" i="16"/>
  <c r="Q26" i="16"/>
  <c r="Q49" i="16"/>
  <c r="Q36" i="16"/>
  <c r="Q18" i="16"/>
  <c r="Q31" i="16"/>
  <c r="Q23" i="16"/>
  <c r="Q17" i="16"/>
  <c r="Q24" i="16"/>
  <c r="Q51" i="16"/>
  <c r="Q37" i="16"/>
  <c r="Q16" i="16"/>
  <c r="Q43" i="16"/>
  <c r="Q20" i="16"/>
  <c r="Q47" i="16"/>
  <c r="Q34" i="16"/>
  <c r="Z23" i="6"/>
  <c r="AA23" i="6" s="1"/>
  <c r="P27" i="21"/>
  <c r="L59" i="21"/>
  <c r="L60" i="21"/>
  <c r="K46" i="28"/>
  <c r="G76" i="28"/>
  <c r="J46" i="28"/>
  <c r="I46" i="28"/>
  <c r="Z18" i="7"/>
  <c r="AA18" i="7" s="1"/>
  <c r="O31" i="13"/>
  <c r="J58" i="13"/>
  <c r="I62" i="27"/>
  <c r="M62" i="27" s="1"/>
  <c r="K62" i="27"/>
  <c r="J62" i="27"/>
  <c r="N62" i="27" s="1"/>
  <c r="M62" i="25"/>
  <c r="I95" i="25"/>
  <c r="N61" i="18"/>
  <c r="K61" i="18"/>
  <c r="P61" i="18" s="1"/>
  <c r="P31" i="15"/>
  <c r="P64" i="22"/>
  <c r="I55" i="10"/>
  <c r="P48" i="22"/>
  <c r="J66" i="26"/>
  <c r="N66" i="26" s="1"/>
  <c r="I66" i="26"/>
  <c r="M66" i="26" s="1"/>
  <c r="K66" i="26"/>
  <c r="L24" i="3"/>
  <c r="M24" i="3" s="1"/>
  <c r="O62" i="23"/>
  <c r="L62" i="23"/>
  <c r="P62" i="23" s="1"/>
  <c r="F16" i="14"/>
  <c r="L63" i="23"/>
  <c r="P63" i="23" s="1"/>
  <c r="O63" i="23"/>
  <c r="J19" i="5"/>
  <c r="L19" i="5" s="1"/>
  <c r="M19" i="5" s="1"/>
  <c r="O44" i="21"/>
  <c r="L17" i="8"/>
  <c r="M17" i="8" s="1"/>
  <c r="J65" i="24"/>
  <c r="N65" i="24" s="1"/>
  <c r="K65" i="24"/>
  <c r="I65" i="24"/>
  <c r="M65" i="24" s="1"/>
  <c r="K65" i="26"/>
  <c r="P65" i="26" s="1"/>
  <c r="J65" i="26"/>
  <c r="N65" i="26" s="1"/>
  <c r="I65" i="26"/>
  <c r="M65" i="26" s="1"/>
  <c r="D29" i="23"/>
  <c r="F29" i="23" s="1"/>
  <c r="J23" i="9"/>
  <c r="L23" i="9" s="1"/>
  <c r="M23" i="9" s="1"/>
  <c r="S20" i="6"/>
  <c r="T20" i="6" s="1"/>
  <c r="K58" i="33"/>
  <c r="I58" i="33"/>
  <c r="M58" i="33" s="1"/>
  <c r="J58" i="33"/>
  <c r="N58" i="33" s="1"/>
  <c r="J22" i="6"/>
  <c r="L22" i="6" s="1"/>
  <c r="M22" i="6" s="1"/>
  <c r="P39" i="13"/>
  <c r="Q49" i="33"/>
  <c r="Q51" i="32"/>
  <c r="Q54" i="34"/>
  <c r="Q49" i="35"/>
  <c r="K79" i="24"/>
  <c r="P79" i="24" s="1"/>
  <c r="J79" i="24"/>
  <c r="N79" i="24" s="1"/>
  <c r="I79" i="24"/>
  <c r="M79" i="24" s="1"/>
  <c r="N50" i="22"/>
  <c r="K57" i="26"/>
  <c r="P57" i="26" s="1"/>
  <c r="J57" i="26"/>
  <c r="I57" i="26"/>
  <c r="M57" i="26" s="1"/>
  <c r="Z23" i="8"/>
  <c r="AA23" i="8" s="1"/>
  <c r="P82" i="25"/>
  <c r="K58" i="26"/>
  <c r="P58" i="26" s="1"/>
  <c r="J58" i="26"/>
  <c r="I58" i="26"/>
  <c r="M58" i="26" s="1"/>
  <c r="Q55" i="34"/>
  <c r="Q50" i="33"/>
  <c r="Q50" i="35"/>
  <c r="Q52" i="32"/>
  <c r="N57" i="18"/>
  <c r="K57" i="18"/>
  <c r="P57" i="18" s="1"/>
  <c r="O28" i="21"/>
  <c r="E21" i="25"/>
  <c r="G21" i="25" s="1"/>
  <c r="E22" i="25"/>
  <c r="G22" i="25" s="1"/>
  <c r="E35" i="25"/>
  <c r="G35" i="25" s="1"/>
  <c r="J23" i="5"/>
  <c r="L23" i="5" s="1"/>
  <c r="M23" i="5" s="1"/>
  <c r="X18" i="6"/>
  <c r="Z18" i="6" s="1"/>
  <c r="AA18" i="6" s="1"/>
  <c r="I50" i="27"/>
  <c r="K50" i="27"/>
  <c r="J50" i="27"/>
  <c r="G79" i="27"/>
  <c r="P31" i="13"/>
  <c r="J19" i="1"/>
  <c r="K19" i="1" s="1"/>
  <c r="L19" i="1" s="1"/>
  <c r="L25" i="7"/>
  <c r="M25" i="7" s="1"/>
  <c r="I68" i="31"/>
  <c r="M68" i="31" s="1"/>
  <c r="K68" i="31"/>
  <c r="P68" i="31" s="1"/>
  <c r="J68" i="31"/>
  <c r="W19" i="22"/>
  <c r="Y19" i="22" s="1"/>
  <c r="AA19" i="22" s="1"/>
  <c r="AB19" i="22" s="1"/>
  <c r="W23" i="22"/>
  <c r="Y23" i="22" s="1"/>
  <c r="W24" i="22"/>
  <c r="Y24" i="22" s="1"/>
  <c r="W26" i="22"/>
  <c r="Y26" i="22" s="1"/>
  <c r="AA26" i="22" s="1"/>
  <c r="AB26" i="22" s="1"/>
  <c r="W28" i="22"/>
  <c r="Y28" i="22" s="1"/>
  <c r="W16" i="22"/>
  <c r="Y16" i="22" s="1"/>
  <c r="W34" i="22"/>
  <c r="Y34" i="22" s="1"/>
  <c r="AA34" i="22" s="1"/>
  <c r="AB34" i="22" s="1"/>
  <c r="S21" i="9"/>
  <c r="T21" i="9" s="1"/>
  <c r="C60" i="35"/>
  <c r="C65" i="34"/>
  <c r="C60" i="33"/>
  <c r="C62" i="32"/>
  <c r="O34" i="20"/>
  <c r="Z15" i="5"/>
  <c r="AA15" i="5" s="1"/>
  <c r="S25" i="3"/>
  <c r="T25" i="3" s="1"/>
  <c r="N13" i="1"/>
  <c r="S22" i="8"/>
  <c r="T22" i="8" s="1"/>
  <c r="N62" i="25"/>
  <c r="J95" i="25"/>
  <c r="P47" i="25" s="1"/>
  <c r="R47" i="25" s="1"/>
  <c r="P45" i="22"/>
  <c r="K78" i="22"/>
  <c r="W20" i="22" s="1"/>
  <c r="Y20" i="22" s="1"/>
  <c r="Z12" i="2"/>
  <c r="AA12" i="2" s="1"/>
  <c r="J62" i="28"/>
  <c r="N62" i="28" s="1"/>
  <c r="K62" i="28"/>
  <c r="I62" i="28"/>
  <c r="M62" i="28" s="1"/>
  <c r="S21" i="4"/>
  <c r="T21" i="4" s="1"/>
  <c r="N60" i="28"/>
  <c r="F23" i="14"/>
  <c r="H32" i="1" s="1"/>
  <c r="P51" i="22"/>
  <c r="X22" i="3"/>
  <c r="Z22" i="3" s="1"/>
  <c r="AA22" i="3" s="1"/>
  <c r="H13" i="10"/>
  <c r="J13" i="10" s="1"/>
  <c r="L13" i="10" s="1"/>
  <c r="M13" i="10" s="1"/>
  <c r="P32" i="12"/>
  <c r="P44" i="21"/>
  <c r="L23" i="8"/>
  <c r="M23" i="8" s="1"/>
  <c r="P44" i="19"/>
  <c r="I53" i="27"/>
  <c r="M53" i="27" s="1"/>
  <c r="K53" i="27"/>
  <c r="J53" i="27"/>
  <c r="N53" i="27" s="1"/>
  <c r="Q64" i="34"/>
  <c r="Q59" i="33"/>
  <c r="Q59" i="35"/>
  <c r="Q61" i="32"/>
  <c r="D28" i="23"/>
  <c r="F28" i="23" s="1"/>
  <c r="N62" i="16"/>
  <c r="K62" i="16"/>
  <c r="P62" i="16" s="1"/>
  <c r="Q22" i="5"/>
  <c r="S22" i="5" s="1"/>
  <c r="T22" i="5" s="1"/>
  <c r="O25" i="20"/>
  <c r="J53" i="20"/>
  <c r="I31" i="16"/>
  <c r="I52" i="16"/>
  <c r="I17" i="16"/>
  <c r="K17" i="16" s="1"/>
  <c r="M17" i="16" s="1"/>
  <c r="N17" i="16" s="1"/>
  <c r="I50" i="16"/>
  <c r="K50" i="16" s="1"/>
  <c r="I37" i="16"/>
  <c r="K37" i="16" s="1"/>
  <c r="M37" i="16" s="1"/>
  <c r="N37" i="16" s="1"/>
  <c r="I48" i="16"/>
  <c r="K48" i="16" s="1"/>
  <c r="M48" i="16" s="1"/>
  <c r="N48" i="16" s="1"/>
  <c r="I19" i="16"/>
  <c r="K19" i="16" s="1"/>
  <c r="M19" i="16" s="1"/>
  <c r="N19" i="16" s="1"/>
  <c r="I33" i="16"/>
  <c r="K33" i="16" s="1"/>
  <c r="M33" i="16" s="1"/>
  <c r="N33" i="16" s="1"/>
  <c r="K67" i="16"/>
  <c r="P67" i="16" s="1"/>
  <c r="N67" i="16"/>
  <c r="P35" i="19"/>
  <c r="J60" i="31"/>
  <c r="N60" i="31" s="1"/>
  <c r="K60" i="31"/>
  <c r="I60" i="31"/>
  <c r="M60" i="31" s="1"/>
  <c r="J51" i="26"/>
  <c r="N51" i="26" s="1"/>
  <c r="I51" i="26"/>
  <c r="M51" i="26" s="1"/>
  <c r="K51" i="26"/>
  <c r="J75" i="24"/>
  <c r="N75" i="24" s="1"/>
  <c r="I75" i="24"/>
  <c r="M75" i="24" s="1"/>
  <c r="K75" i="24"/>
  <c r="O34" i="13"/>
  <c r="D15" i="20"/>
  <c r="F15" i="20" s="1"/>
  <c r="D18" i="20"/>
  <c r="F18" i="20" s="1"/>
  <c r="H89" i="1" s="1"/>
  <c r="D17" i="20"/>
  <c r="F17" i="20" s="1"/>
  <c r="D14" i="20"/>
  <c r="F14" i="20" s="1"/>
  <c r="D13" i="20"/>
  <c r="F13" i="20" s="1"/>
  <c r="D16" i="20"/>
  <c r="F16" i="20" s="1"/>
  <c r="Z14" i="8"/>
  <c r="AA14" i="8" s="1"/>
  <c r="O49" i="13"/>
  <c r="Q25" i="5"/>
  <c r="J18" i="9"/>
  <c r="L18" i="9" s="1"/>
  <c r="M18" i="9" s="1"/>
  <c r="N67" i="11"/>
  <c r="J70" i="30"/>
  <c r="K70" i="30"/>
  <c r="P70" i="30" s="1"/>
  <c r="I70" i="30"/>
  <c r="M70" i="30" s="1"/>
  <c r="C54" i="35"/>
  <c r="C59" i="34"/>
  <c r="C54" i="33"/>
  <c r="C56" i="32"/>
  <c r="J12" i="6"/>
  <c r="L12" i="6" s="1"/>
  <c r="M12" i="6" s="1"/>
  <c r="O40" i="20"/>
  <c r="N51" i="18"/>
  <c r="K51" i="18"/>
  <c r="P51" i="18" s="1"/>
  <c r="K67" i="24"/>
  <c r="J67" i="24"/>
  <c r="I67" i="24"/>
  <c r="M67" i="24" s="1"/>
  <c r="L61" i="23"/>
  <c r="P61" i="23" s="1"/>
  <c r="O61" i="23"/>
  <c r="Q63" i="32"/>
  <c r="Q66" i="34"/>
  <c r="Q61" i="35"/>
  <c r="Q61" i="33"/>
  <c r="S13" i="9"/>
  <c r="T13" i="9" s="1"/>
  <c r="I15" i="19"/>
  <c r="I21" i="19"/>
  <c r="I18" i="19"/>
  <c r="I23" i="19"/>
  <c r="I14" i="19"/>
  <c r="I13" i="19"/>
  <c r="I22" i="19"/>
  <c r="I19" i="19"/>
  <c r="I17" i="19"/>
  <c r="I16" i="19"/>
  <c r="I20" i="19"/>
  <c r="K57" i="27"/>
  <c r="I57" i="27"/>
  <c r="M57" i="27" s="1"/>
  <c r="J57" i="27"/>
  <c r="N57" i="27" s="1"/>
  <c r="N56" i="17"/>
  <c r="K56" i="17"/>
  <c r="P56" i="17" s="1"/>
  <c r="K80" i="16"/>
  <c r="P80" i="16" s="1"/>
  <c r="N80" i="16"/>
  <c r="L41" i="23"/>
  <c r="O41" i="23"/>
  <c r="J81" i="23"/>
  <c r="K55" i="29"/>
  <c r="J55" i="29"/>
  <c r="N55" i="29" s="1"/>
  <c r="I55" i="29"/>
  <c r="M55" i="29" s="1"/>
  <c r="X13" i="4"/>
  <c r="Z13" i="4" s="1"/>
  <c r="AA13" i="4" s="1"/>
  <c r="J70" i="24"/>
  <c r="N70" i="24" s="1"/>
  <c r="I70" i="24"/>
  <c r="M70" i="24" s="1"/>
  <c r="K70" i="24"/>
  <c r="P47" i="22"/>
  <c r="N66" i="16"/>
  <c r="K66" i="16"/>
  <c r="P66" i="16" s="1"/>
  <c r="O48" i="19"/>
  <c r="E46" i="25"/>
  <c r="G46" i="25" s="1"/>
  <c r="E49" i="25"/>
  <c r="G49" i="25" s="1"/>
  <c r="E48" i="25"/>
  <c r="G48" i="25" s="1"/>
  <c r="P87" i="16"/>
  <c r="K93" i="16"/>
  <c r="X13" i="6"/>
  <c r="Z13" i="6" s="1"/>
  <c r="AA13" i="6" s="1"/>
  <c r="D14" i="21"/>
  <c r="F14" i="21" s="1"/>
  <c r="D19" i="21"/>
  <c r="F19" i="21" s="1"/>
  <c r="H91" i="1" s="1"/>
  <c r="D16" i="21"/>
  <c r="F16" i="21" s="1"/>
  <c r="D15" i="21"/>
  <c r="F15" i="21" s="1"/>
  <c r="D17" i="21"/>
  <c r="F17" i="21" s="1"/>
  <c r="D18" i="21"/>
  <c r="F18" i="21" s="1"/>
  <c r="D13" i="21"/>
  <c r="F13" i="21" s="1"/>
  <c r="K44" i="29"/>
  <c r="J44" i="29"/>
  <c r="G78" i="29"/>
  <c r="I44" i="29"/>
  <c r="G77" i="29"/>
  <c r="Z17" i="7"/>
  <c r="AA17" i="7" s="1"/>
  <c r="O31" i="21"/>
  <c r="Q24" i="3"/>
  <c r="S24" i="3" s="1"/>
  <c r="T24" i="3" s="1"/>
  <c r="N65" i="25"/>
  <c r="Q61" i="34"/>
  <c r="Q56" i="33"/>
  <c r="Q56" i="35"/>
  <c r="Q58" i="32"/>
  <c r="P49" i="19"/>
  <c r="P34" i="20"/>
  <c r="X34" i="28"/>
  <c r="X25" i="28"/>
  <c r="X23" i="28"/>
  <c r="X37" i="28"/>
  <c r="X26" i="28"/>
  <c r="X33" i="28"/>
  <c r="X29" i="28"/>
  <c r="X20" i="28"/>
  <c r="X15" i="28"/>
  <c r="X38" i="28"/>
  <c r="X27" i="28"/>
  <c r="X35" i="28"/>
  <c r="X32" i="28"/>
  <c r="X24" i="28"/>
  <c r="X17" i="28"/>
  <c r="X18" i="28"/>
  <c r="X16" i="28"/>
  <c r="X28" i="28"/>
  <c r="X19" i="28"/>
  <c r="X14" i="28"/>
  <c r="X36" i="28"/>
  <c r="N77" i="16"/>
  <c r="K77" i="16"/>
  <c r="P77" i="16" s="1"/>
  <c r="P62" i="25"/>
  <c r="K95" i="25"/>
  <c r="I82" i="23"/>
  <c r="N68" i="16"/>
  <c r="K68" i="16"/>
  <c r="P68" i="16" s="1"/>
  <c r="N53" i="22"/>
  <c r="N69" i="25"/>
  <c r="J78" i="24"/>
  <c r="K78" i="24"/>
  <c r="P78" i="24" s="1"/>
  <c r="I78" i="24"/>
  <c r="M78" i="24" s="1"/>
  <c r="P60" i="28"/>
  <c r="F18" i="14"/>
  <c r="X21" i="3"/>
  <c r="Z21" i="3" s="1"/>
  <c r="AA21" i="3" s="1"/>
  <c r="H20" i="10"/>
  <c r="J20" i="10" s="1"/>
  <c r="X12" i="5"/>
  <c r="Z12" i="5" s="1"/>
  <c r="AA12" i="5" s="1"/>
  <c r="J47" i="29"/>
  <c r="K47" i="29"/>
  <c r="P47" i="29" s="1"/>
  <c r="I47" i="29"/>
  <c r="M47" i="29" s="1"/>
  <c r="X15" i="9"/>
  <c r="Z15" i="9" s="1"/>
  <c r="AA15" i="9" s="1"/>
  <c r="N44" i="18"/>
  <c r="K44" i="18"/>
  <c r="P44" i="18" s="1"/>
  <c r="P38" i="12"/>
  <c r="J59" i="29"/>
  <c r="K59" i="29"/>
  <c r="P59" i="29" s="1"/>
  <c r="I59" i="29"/>
  <c r="M59" i="29" s="1"/>
  <c r="D27" i="23"/>
  <c r="F27" i="23" s="1"/>
  <c r="K59" i="28"/>
  <c r="P59" i="28" s="1"/>
  <c r="J59" i="28"/>
  <c r="N59" i="28" s="1"/>
  <c r="I59" i="28"/>
  <c r="M59" i="28" s="1"/>
  <c r="P37" i="21"/>
  <c r="S24" i="4"/>
  <c r="T24" i="4" s="1"/>
  <c r="Z25" i="8"/>
  <c r="AA25" i="8" s="1"/>
  <c r="R21" i="1"/>
  <c r="P64" i="27"/>
  <c r="K61" i="17"/>
  <c r="P61" i="17" s="1"/>
  <c r="N61" i="17"/>
  <c r="O48" i="23"/>
  <c r="L48" i="23"/>
  <c r="P48" i="23" s="1"/>
  <c r="N65" i="17"/>
  <c r="K65" i="17"/>
  <c r="P65" i="17" s="1"/>
  <c r="C67" i="34"/>
  <c r="C62" i="35"/>
  <c r="C64" i="32"/>
  <c r="C62" i="33"/>
  <c r="J37" i="34"/>
  <c r="J32" i="34"/>
  <c r="J24" i="34"/>
  <c r="J35" i="34"/>
  <c r="J23" i="34"/>
  <c r="J19" i="34"/>
  <c r="J27" i="34"/>
  <c r="J26" i="34"/>
  <c r="J16" i="34"/>
  <c r="J36" i="34"/>
  <c r="J34" i="34"/>
  <c r="J15" i="34"/>
  <c r="J17" i="34"/>
  <c r="J38" i="34"/>
  <c r="J18" i="34"/>
  <c r="J25" i="34"/>
  <c r="J28" i="34"/>
  <c r="J29" i="34"/>
  <c r="J33" i="34"/>
  <c r="J20" i="34"/>
  <c r="J14" i="34"/>
  <c r="S16" i="6"/>
  <c r="T16" i="6" s="1"/>
  <c r="I60" i="32"/>
  <c r="M60" i="32" s="1"/>
  <c r="K60" i="32"/>
  <c r="P60" i="32" s="1"/>
  <c r="J60" i="32"/>
  <c r="N60" i="32" s="1"/>
  <c r="J25" i="6"/>
  <c r="E44" i="16"/>
  <c r="G44" i="16" s="1"/>
  <c r="E39" i="16"/>
  <c r="G39" i="16" s="1"/>
  <c r="H36" i="1" s="1"/>
  <c r="E18" i="16"/>
  <c r="G18" i="16" s="1"/>
  <c r="E26" i="16"/>
  <c r="G26" i="16" s="1"/>
  <c r="H35" i="1" s="1"/>
  <c r="E24" i="16"/>
  <c r="G24" i="16" s="1"/>
  <c r="E30" i="16"/>
  <c r="G30" i="16" s="1"/>
  <c r="E37" i="16"/>
  <c r="G37" i="16" s="1"/>
  <c r="E22" i="16"/>
  <c r="G22" i="16" s="1"/>
  <c r="E19" i="16"/>
  <c r="G19" i="16" s="1"/>
  <c r="E46" i="16"/>
  <c r="G46" i="16" s="1"/>
  <c r="E31" i="16"/>
  <c r="G31" i="16" s="1"/>
  <c r="E45" i="16"/>
  <c r="G45" i="16" s="1"/>
  <c r="E52" i="16"/>
  <c r="G52" i="16" s="1"/>
  <c r="H37" i="1" s="1"/>
  <c r="E33" i="16"/>
  <c r="G33" i="16" s="1"/>
  <c r="E36" i="16"/>
  <c r="G36" i="16" s="1"/>
  <c r="E29" i="16"/>
  <c r="G29" i="16" s="1"/>
  <c r="E50" i="16"/>
  <c r="G50" i="16" s="1"/>
  <c r="E20" i="16"/>
  <c r="G20" i="16" s="1"/>
  <c r="E38" i="16"/>
  <c r="G38" i="16" s="1"/>
  <c r="E34" i="16"/>
  <c r="G34" i="16" s="1"/>
  <c r="E47" i="16"/>
  <c r="G47" i="16" s="1"/>
  <c r="E23" i="16"/>
  <c r="G23" i="16" s="1"/>
  <c r="E49" i="16"/>
  <c r="G49" i="16" s="1"/>
  <c r="E17" i="16"/>
  <c r="G17" i="16" s="1"/>
  <c r="E42" i="16"/>
  <c r="G42" i="16" s="1"/>
  <c r="E16" i="16"/>
  <c r="G16" i="16" s="1"/>
  <c r="E43" i="16"/>
  <c r="G43" i="16" s="1"/>
  <c r="E48" i="16"/>
  <c r="G48" i="16" s="1"/>
  <c r="E32" i="16"/>
  <c r="G32" i="16" s="1"/>
  <c r="E21" i="16"/>
  <c r="G21" i="16" s="1"/>
  <c r="E51" i="16"/>
  <c r="G51" i="16" s="1"/>
  <c r="E25" i="16"/>
  <c r="G25" i="16" s="1"/>
  <c r="E35" i="16"/>
  <c r="G35" i="16" s="1"/>
  <c r="J22" i="25"/>
  <c r="J48" i="25"/>
  <c r="J21" i="25"/>
  <c r="J46" i="25"/>
  <c r="J32" i="25"/>
  <c r="J51" i="25"/>
  <c r="J43" i="25"/>
  <c r="J41" i="25"/>
  <c r="J25" i="25"/>
  <c r="J23" i="25"/>
  <c r="J18" i="25"/>
  <c r="J24" i="25"/>
  <c r="J29" i="25"/>
  <c r="J49" i="25"/>
  <c r="J47" i="25"/>
  <c r="J33" i="25"/>
  <c r="J34" i="25"/>
  <c r="J36" i="25"/>
  <c r="J37" i="25"/>
  <c r="J44" i="25"/>
  <c r="J17" i="25"/>
  <c r="J38" i="25"/>
  <c r="J15" i="25"/>
  <c r="J20" i="25"/>
  <c r="J35" i="25"/>
  <c r="J16" i="25"/>
  <c r="J28" i="25"/>
  <c r="J42" i="25"/>
  <c r="J19" i="25"/>
  <c r="J30" i="25"/>
  <c r="J50" i="25"/>
  <c r="J31" i="25"/>
  <c r="J45" i="25"/>
  <c r="I51" i="28"/>
  <c r="M51" i="28" s="1"/>
  <c r="K51" i="28"/>
  <c r="J51" i="28"/>
  <c r="N51" i="28" s="1"/>
  <c r="K63" i="28"/>
  <c r="J63" i="28"/>
  <c r="N63" i="28" s="1"/>
  <c r="I63" i="28"/>
  <c r="M63" i="28" s="1"/>
  <c r="S19" i="9"/>
  <c r="T19" i="9" s="1"/>
  <c r="I51" i="29"/>
  <c r="M51" i="29" s="1"/>
  <c r="K51" i="29"/>
  <c r="P51" i="29" s="1"/>
  <c r="J51" i="29"/>
  <c r="S14" i="7"/>
  <c r="T14" i="7" s="1"/>
  <c r="J56" i="28"/>
  <c r="K56" i="28"/>
  <c r="P56" i="28" s="1"/>
  <c r="I56" i="28"/>
  <c r="M56" i="28" s="1"/>
  <c r="I81" i="23"/>
  <c r="O47" i="10"/>
  <c r="I67" i="31"/>
  <c r="M67" i="31" s="1"/>
  <c r="J67" i="31"/>
  <c r="K67" i="31"/>
  <c r="P67" i="31" s="1"/>
  <c r="Q52" i="35"/>
  <c r="Q57" i="34"/>
  <c r="Q52" i="33"/>
  <c r="Q54" i="32"/>
  <c r="N50" i="18"/>
  <c r="K50" i="18"/>
  <c r="P50" i="18" s="1"/>
  <c r="X14" i="5"/>
  <c r="Z14" i="5" s="1"/>
  <c r="AA14" i="5" s="1"/>
  <c r="S25" i="9"/>
  <c r="T25" i="9" s="1"/>
  <c r="N22" i="1"/>
  <c r="O22" i="1" s="1"/>
  <c r="P22" i="1" s="1"/>
  <c r="N47" i="22"/>
  <c r="E28" i="25"/>
  <c r="G28" i="25" s="1"/>
  <c r="E37" i="25"/>
  <c r="G37" i="25" s="1"/>
  <c r="E50" i="25"/>
  <c r="G50" i="25" s="1"/>
  <c r="L43" i="23"/>
  <c r="O43" i="23"/>
  <c r="J80" i="23"/>
  <c r="J79" i="23"/>
  <c r="X12" i="6"/>
  <c r="Z12" i="6" s="1"/>
  <c r="AA12" i="6" s="1"/>
  <c r="X25" i="6"/>
  <c r="P38" i="15"/>
  <c r="Q49" i="34"/>
  <c r="Q44" i="33"/>
  <c r="Q44" i="35"/>
  <c r="Q46" i="32"/>
  <c r="Z20" i="7"/>
  <c r="AA20" i="7" s="1"/>
  <c r="S22" i="2"/>
  <c r="T22" i="2" s="1"/>
  <c r="Q17" i="9"/>
  <c r="S17" i="9" s="1"/>
  <c r="T17" i="9" s="1"/>
  <c r="N65" i="16"/>
  <c r="K65" i="16"/>
  <c r="P65" i="16" s="1"/>
  <c r="P65" i="22"/>
  <c r="P71" i="23"/>
  <c r="L83" i="23"/>
  <c r="Q37" i="26"/>
  <c r="Q39" i="26"/>
  <c r="Q30" i="26"/>
  <c r="Q25" i="26"/>
  <c r="Q21" i="26"/>
  <c r="Q16" i="26"/>
  <c r="Q20" i="26"/>
  <c r="Q35" i="26"/>
  <c r="Q32" i="26"/>
  <c r="Q18" i="26"/>
  <c r="Q17" i="26"/>
  <c r="Q40" i="26"/>
  <c r="Q27" i="26"/>
  <c r="Q19" i="26"/>
  <c r="Q42" i="26"/>
  <c r="Q28" i="26"/>
  <c r="Q26" i="26"/>
  <c r="Q36" i="26"/>
  <c r="Q31" i="26"/>
  <c r="Q41" i="26"/>
  <c r="Q29" i="26"/>
  <c r="Q15" i="26"/>
  <c r="Q38" i="26"/>
  <c r="Q22" i="26"/>
  <c r="S15" i="4"/>
  <c r="T15" i="4" s="1"/>
  <c r="P16" i="22"/>
  <c r="R16" i="22" s="1"/>
  <c r="P32" i="22"/>
  <c r="R32" i="22" s="1"/>
  <c r="P15" i="22"/>
  <c r="R15" i="22" s="1"/>
  <c r="P17" i="22"/>
  <c r="R17" i="22" s="1"/>
  <c r="P28" i="22"/>
  <c r="R28" i="22" s="1"/>
  <c r="P33" i="22"/>
  <c r="R33" i="22" s="1"/>
  <c r="P27" i="22"/>
  <c r="R27" i="22" s="1"/>
  <c r="P34" i="22"/>
  <c r="R34" i="22" s="1"/>
  <c r="P25" i="22"/>
  <c r="R25" i="22" s="1"/>
  <c r="P18" i="22"/>
  <c r="R18" i="22" s="1"/>
  <c r="P31" i="22"/>
  <c r="R31" i="22" s="1"/>
  <c r="P19" i="22"/>
  <c r="R19" i="22" s="1"/>
  <c r="P20" i="22"/>
  <c r="R20" i="22" s="1"/>
  <c r="P35" i="22"/>
  <c r="R35" i="22" s="1"/>
  <c r="P24" i="22"/>
  <c r="R24" i="22" s="1"/>
  <c r="P26" i="22"/>
  <c r="R26" i="22" s="1"/>
  <c r="P36" i="22"/>
  <c r="R36" i="22" s="1"/>
  <c r="P23" i="22"/>
  <c r="R23" i="22" s="1"/>
  <c r="X41" i="25"/>
  <c r="X32" i="25"/>
  <c r="X23" i="25"/>
  <c r="X24" i="25"/>
  <c r="X37" i="25"/>
  <c r="X49" i="25"/>
  <c r="X35" i="25"/>
  <c r="X21" i="25"/>
  <c r="X50" i="25"/>
  <c r="X20" i="25"/>
  <c r="X36" i="25"/>
  <c r="X15" i="25"/>
  <c r="X31" i="25"/>
  <c r="X47" i="25"/>
  <c r="X16" i="25"/>
  <c r="X19" i="25"/>
  <c r="X34" i="25"/>
  <c r="X44" i="25"/>
  <c r="X45" i="25"/>
  <c r="X42" i="25"/>
  <c r="X17" i="25"/>
  <c r="X30" i="25"/>
  <c r="X46" i="25"/>
  <c r="X18" i="25"/>
  <c r="X29" i="25"/>
  <c r="X38" i="25"/>
  <c r="X33" i="25"/>
  <c r="X43" i="25"/>
  <c r="X48" i="25"/>
  <c r="X25" i="25"/>
  <c r="X28" i="25"/>
  <c r="X51" i="25"/>
  <c r="X22" i="25"/>
  <c r="Z14" i="2"/>
  <c r="AA14" i="2" s="1"/>
  <c r="J60" i="29"/>
  <c r="N60" i="29" s="1"/>
  <c r="I60" i="29"/>
  <c r="M60" i="29" s="1"/>
  <c r="K60" i="29"/>
  <c r="S22" i="3"/>
  <c r="T22" i="3" s="1"/>
  <c r="L21" i="3"/>
  <c r="M21" i="3" s="1"/>
  <c r="L19" i="3"/>
  <c r="M19" i="3" s="1"/>
  <c r="X20" i="3"/>
  <c r="Z20" i="3" s="1"/>
  <c r="AA20" i="3" s="1"/>
  <c r="H12" i="10"/>
  <c r="J12" i="10" s="1"/>
  <c r="L12" i="10" s="1"/>
  <c r="M12" i="10" s="1"/>
  <c r="K59" i="31"/>
  <c r="P59" i="31" s="1"/>
  <c r="J59" i="31"/>
  <c r="I59" i="31"/>
  <c r="M59" i="31" s="1"/>
  <c r="S18" i="2"/>
  <c r="T18" i="2" s="1"/>
  <c r="X13" i="9"/>
  <c r="Z13" i="9" s="1"/>
  <c r="AA13" i="9" s="1"/>
  <c r="J77" i="24"/>
  <c r="N77" i="24" s="1"/>
  <c r="K77" i="24"/>
  <c r="I77" i="24"/>
  <c r="M77" i="24" s="1"/>
  <c r="D26" i="23"/>
  <c r="F26" i="23" s="1"/>
  <c r="C49" i="34"/>
  <c r="C44" i="35"/>
  <c r="C44" i="33"/>
  <c r="C46" i="32"/>
  <c r="P49" i="14"/>
  <c r="N54" i="18"/>
  <c r="K54" i="18"/>
  <c r="P54" i="18" s="1"/>
  <c r="Q53" i="34"/>
  <c r="Q48" i="35"/>
  <c r="Q48" i="33"/>
  <c r="Q50" i="32"/>
  <c r="J47" i="28"/>
  <c r="K47" i="28"/>
  <c r="P47" i="28" s="1"/>
  <c r="I47" i="28"/>
  <c r="M47" i="28" s="1"/>
  <c r="Q24" i="5"/>
  <c r="S24" i="5" s="1"/>
  <c r="T24" i="5" s="1"/>
  <c r="I65" i="28"/>
  <c r="M65" i="28" s="1"/>
  <c r="J65" i="28"/>
  <c r="N65" i="28" s="1"/>
  <c r="K65" i="28"/>
  <c r="O43" i="10"/>
  <c r="J12" i="4"/>
  <c r="L12" i="4" s="1"/>
  <c r="M12" i="4" s="1"/>
  <c r="P55" i="11"/>
  <c r="P27" i="20"/>
  <c r="C63" i="34"/>
  <c r="C58" i="33"/>
  <c r="C58" i="35"/>
  <c r="C60" i="32"/>
  <c r="J50" i="28"/>
  <c r="K50" i="28"/>
  <c r="P50" i="28" s="1"/>
  <c r="I50" i="28"/>
  <c r="M50" i="28" s="1"/>
  <c r="I45" i="29"/>
  <c r="M45" i="29" s="1"/>
  <c r="J45" i="29"/>
  <c r="N45" i="29" s="1"/>
  <c r="K45" i="29"/>
  <c r="P45" i="29" s="1"/>
  <c r="I62" i="29"/>
  <c r="M62" i="29" s="1"/>
  <c r="K62" i="29"/>
  <c r="P62" i="29" s="1"/>
  <c r="J62" i="29"/>
  <c r="Q59" i="32"/>
  <c r="Q57" i="33"/>
  <c r="Q57" i="35"/>
  <c r="Q62" i="34"/>
  <c r="Q23" i="9"/>
  <c r="S23" i="9" s="1"/>
  <c r="T23" i="9" s="1"/>
  <c r="P42" i="19"/>
  <c r="C51" i="34"/>
  <c r="C46" i="33"/>
  <c r="C46" i="35"/>
  <c r="C48" i="32"/>
  <c r="N60" i="17"/>
  <c r="K60" i="17"/>
  <c r="P60" i="17" s="1"/>
  <c r="L25" i="9"/>
  <c r="M25" i="9" s="1"/>
  <c r="J22" i="1"/>
  <c r="K22" i="1" s="1"/>
  <c r="L22" i="1" s="1"/>
  <c r="S18" i="6"/>
  <c r="T18" i="6" s="1"/>
  <c r="N49" i="11"/>
  <c r="K63" i="18"/>
  <c r="P63" i="18" s="1"/>
  <c r="N63" i="18"/>
  <c r="K63" i="34"/>
  <c r="I63" i="34"/>
  <c r="M63" i="34" s="1"/>
  <c r="J63" i="34"/>
  <c r="J14" i="6"/>
  <c r="L14" i="6" s="1"/>
  <c r="M14" i="6" s="1"/>
  <c r="M61" i="16"/>
  <c r="I92" i="16"/>
  <c r="I24" i="16" s="1"/>
  <c r="K24" i="16" s="1"/>
  <c r="I61" i="31"/>
  <c r="M61" i="31" s="1"/>
  <c r="K61" i="31"/>
  <c r="P61" i="31" s="1"/>
  <c r="J61" i="31"/>
  <c r="J61" i="29"/>
  <c r="I61" i="29"/>
  <c r="M61" i="29" s="1"/>
  <c r="K61" i="29"/>
  <c r="P61" i="29" s="1"/>
  <c r="N75" i="16"/>
  <c r="K75" i="16"/>
  <c r="P75" i="16" s="1"/>
  <c r="O35" i="21"/>
  <c r="J46" i="29"/>
  <c r="I46" i="29"/>
  <c r="M46" i="29" s="1"/>
  <c r="K46" i="29"/>
  <c r="P46" i="29" s="1"/>
  <c r="J53" i="28"/>
  <c r="K53" i="28"/>
  <c r="P53" i="28" s="1"/>
  <c r="I53" i="28"/>
  <c r="M53" i="28" s="1"/>
  <c r="N61" i="22"/>
  <c r="C58" i="34"/>
  <c r="C53" i="35"/>
  <c r="C53" i="33"/>
  <c r="C55" i="32"/>
  <c r="S12" i="7"/>
  <c r="T12" i="7" s="1"/>
  <c r="K72" i="24"/>
  <c r="J72" i="24"/>
  <c r="N72" i="24" s="1"/>
  <c r="I72" i="24"/>
  <c r="M72" i="24" s="1"/>
  <c r="P47" i="10"/>
  <c r="J61" i="26"/>
  <c r="N61" i="26" s="1"/>
  <c r="K61" i="26"/>
  <c r="P61" i="26" s="1"/>
  <c r="I61" i="26"/>
  <c r="M61" i="26" s="1"/>
  <c r="Z23" i="2"/>
  <c r="AA23" i="2" s="1"/>
  <c r="P33" i="13"/>
  <c r="O41" i="10"/>
  <c r="E47" i="25"/>
  <c r="G47" i="25" s="1"/>
  <c r="E29" i="25"/>
  <c r="G29" i="25" s="1"/>
  <c r="P45" i="12"/>
  <c r="X14" i="6"/>
  <c r="Z14" i="6" s="1"/>
  <c r="AA14" i="6" s="1"/>
  <c r="X20" i="6"/>
  <c r="Z20" i="6" s="1"/>
  <c r="AA20" i="6" s="1"/>
  <c r="I56" i="31"/>
  <c r="G86" i="31"/>
  <c r="K56" i="31"/>
  <c r="J56" i="31"/>
  <c r="Z12" i="7"/>
  <c r="AA12" i="7" s="1"/>
  <c r="Q64" i="35"/>
  <c r="Q69" i="34"/>
  <c r="Q64" i="33"/>
  <c r="Q66" i="32"/>
  <c r="O36" i="14"/>
  <c r="Q14" i="9"/>
  <c r="S14" i="9" s="1"/>
  <c r="T14" i="9" s="1"/>
  <c r="X23" i="5"/>
  <c r="Z23" i="5" s="1"/>
  <c r="AA23" i="5" s="1"/>
  <c r="P28" i="23"/>
  <c r="P17" i="23"/>
  <c r="P25" i="23"/>
  <c r="P16" i="23"/>
  <c r="P26" i="23"/>
  <c r="P15" i="23"/>
  <c r="P30" i="23"/>
  <c r="P19" i="23"/>
  <c r="P32" i="23"/>
  <c r="P27" i="23"/>
  <c r="P13" i="23"/>
  <c r="P33" i="23"/>
  <c r="P29" i="23"/>
  <c r="P14" i="23"/>
  <c r="P20" i="23"/>
  <c r="P18" i="23"/>
  <c r="P31" i="23"/>
  <c r="P21" i="23"/>
  <c r="O39" i="20"/>
  <c r="C56" i="34"/>
  <c r="C51" i="35"/>
  <c r="C53" i="32"/>
  <c r="C51" i="33"/>
  <c r="J82" i="23"/>
  <c r="L42" i="23"/>
  <c r="O42" i="23"/>
  <c r="S17" i="8"/>
  <c r="T17" i="8" s="1"/>
  <c r="J13" i="5"/>
  <c r="L13" i="5" s="1"/>
  <c r="M13" i="5" s="1"/>
  <c r="K66" i="27"/>
  <c r="P66" i="27" s="1"/>
  <c r="J66" i="27"/>
  <c r="N66" i="27" s="1"/>
  <c r="I66" i="27"/>
  <c r="M66" i="27" s="1"/>
  <c r="E34" i="11"/>
  <c r="G34" i="11" s="1"/>
  <c r="E20" i="11"/>
  <c r="G20" i="11" s="1"/>
  <c r="H26" i="1" s="1"/>
  <c r="E37" i="11"/>
  <c r="G37" i="11" s="1"/>
  <c r="E16" i="11"/>
  <c r="G16" i="11" s="1"/>
  <c r="E38" i="11"/>
  <c r="G38" i="11" s="1"/>
  <c r="H28" i="1" s="1"/>
  <c r="E27" i="11"/>
  <c r="G27" i="11" s="1"/>
  <c r="E23" i="11"/>
  <c r="G23" i="11" s="1"/>
  <c r="E35" i="11"/>
  <c r="G35" i="11" s="1"/>
  <c r="E29" i="11"/>
  <c r="G29" i="11" s="1"/>
  <c r="H27" i="1" s="1"/>
  <c r="E17" i="11"/>
  <c r="G17" i="11" s="1"/>
  <c r="E33" i="11"/>
  <c r="G33" i="11" s="1"/>
  <c r="E15" i="11"/>
  <c r="G15" i="11" s="1"/>
  <c r="E14" i="11"/>
  <c r="G14" i="11" s="1"/>
  <c r="E19" i="11"/>
  <c r="G19" i="11" s="1"/>
  <c r="E32" i="11"/>
  <c r="G32" i="11" s="1"/>
  <c r="E24" i="11"/>
  <c r="G24" i="11" s="1"/>
  <c r="E36" i="11"/>
  <c r="G36" i="11" s="1"/>
  <c r="E26" i="11"/>
  <c r="G26" i="11" s="1"/>
  <c r="E18" i="11"/>
  <c r="G18" i="11" s="1"/>
  <c r="E25" i="11"/>
  <c r="G25" i="11" s="1"/>
  <c r="E28" i="11"/>
  <c r="G28" i="11" s="1"/>
  <c r="F15" i="14"/>
  <c r="X18" i="3"/>
  <c r="Z18" i="3" s="1"/>
  <c r="AA18" i="3" s="1"/>
  <c r="H15" i="10"/>
  <c r="J15" i="10" s="1"/>
  <c r="L15" i="10" s="1"/>
  <c r="M15" i="10" s="1"/>
  <c r="N48" i="18"/>
  <c r="K48" i="18"/>
  <c r="P48" i="18" s="1"/>
  <c r="L25" i="8"/>
  <c r="M25" i="8" s="1"/>
  <c r="J21" i="1"/>
  <c r="K21" i="1" s="1"/>
  <c r="L21" i="1" s="1"/>
  <c r="X18" i="9"/>
  <c r="Z18" i="9" s="1"/>
  <c r="AA18" i="9" s="1"/>
  <c r="I61" i="28"/>
  <c r="M61" i="28" s="1"/>
  <c r="K61" i="28"/>
  <c r="P61" i="28" s="1"/>
  <c r="J61" i="28"/>
  <c r="N61" i="28" s="1"/>
  <c r="D31" i="23"/>
  <c r="F31" i="23" s="1"/>
  <c r="G34" i="25"/>
  <c r="X24" i="6"/>
  <c r="Z24" i="6" s="1"/>
  <c r="AA24" i="6" s="1"/>
  <c r="Z19" i="7"/>
  <c r="AA19" i="7" s="1"/>
  <c r="K70" i="26"/>
  <c r="J70" i="26"/>
  <c r="N70" i="26" s="1"/>
  <c r="I70" i="26"/>
  <c r="M70" i="26" s="1"/>
  <c r="S19" i="8"/>
  <c r="T19" i="8" s="1"/>
  <c r="Z24" i="8"/>
  <c r="AA24" i="8" s="1"/>
  <c r="S16" i="9"/>
  <c r="T16" i="9" s="1"/>
  <c r="O45" i="14"/>
  <c r="N64" i="16"/>
  <c r="K64" i="16"/>
  <c r="P64" i="16" s="1"/>
  <c r="Q15" i="3"/>
  <c r="S15" i="3" s="1"/>
  <c r="T15" i="3" s="1"/>
  <c r="Z19" i="2"/>
  <c r="AA19" i="2" s="1"/>
  <c r="Q65" i="34"/>
  <c r="Q60" i="35"/>
  <c r="Q60" i="33"/>
  <c r="Q62" i="32"/>
  <c r="F13" i="14"/>
  <c r="X15" i="3"/>
  <c r="H16" i="10"/>
  <c r="J16" i="10" s="1"/>
  <c r="L16" i="10" s="1"/>
  <c r="M16" i="10" s="1"/>
  <c r="S13" i="7"/>
  <c r="T13" i="7" s="1"/>
  <c r="C61" i="35"/>
  <c r="C63" i="32"/>
  <c r="C66" i="34"/>
  <c r="C61" i="33"/>
  <c r="S15" i="2"/>
  <c r="T15" i="2" s="1"/>
  <c r="X12" i="9"/>
  <c r="Z12" i="9" s="1"/>
  <c r="AA12" i="9" s="1"/>
  <c r="X25" i="9"/>
  <c r="I78" i="11"/>
  <c r="K65" i="27"/>
  <c r="J65" i="27"/>
  <c r="N65" i="27" s="1"/>
  <c r="I65" i="27"/>
  <c r="M65" i="27" s="1"/>
  <c r="J46" i="32" l="1"/>
  <c r="I46" i="32"/>
  <c r="K46" i="32"/>
  <c r="G79" i="32"/>
  <c r="K52" i="35"/>
  <c r="I52" i="35"/>
  <c r="M52" i="35" s="1"/>
  <c r="J52" i="35"/>
  <c r="N52" i="35" s="1"/>
  <c r="P20" i="16"/>
  <c r="R20" i="16" s="1"/>
  <c r="P29" i="16"/>
  <c r="R29" i="16" s="1"/>
  <c r="T29" i="16" s="1"/>
  <c r="U29" i="16" s="1"/>
  <c r="P45" i="16"/>
  <c r="R45" i="16" s="1"/>
  <c r="T45" i="16" s="1"/>
  <c r="U45" i="16" s="1"/>
  <c r="P51" i="16"/>
  <c r="R51" i="16" s="1"/>
  <c r="P18" i="16"/>
  <c r="R18" i="16" s="1"/>
  <c r="T18" i="16" s="1"/>
  <c r="U18" i="16" s="1"/>
  <c r="P48" i="16"/>
  <c r="R48" i="16" s="1"/>
  <c r="T48" i="16" s="1"/>
  <c r="U48" i="16" s="1"/>
  <c r="P17" i="16"/>
  <c r="R17" i="16" s="1"/>
  <c r="T17" i="16" s="1"/>
  <c r="U17" i="16" s="1"/>
  <c r="P26" i="16"/>
  <c r="R26" i="16" s="1"/>
  <c r="P22" i="16"/>
  <c r="R22" i="16" s="1"/>
  <c r="P33" i="16"/>
  <c r="R33" i="16" s="1"/>
  <c r="T33" i="16" s="1"/>
  <c r="U33" i="16" s="1"/>
  <c r="P46" i="16"/>
  <c r="R46" i="16" s="1"/>
  <c r="P25" i="16"/>
  <c r="R25" i="16" s="1"/>
  <c r="T25" i="16" s="1"/>
  <c r="U25" i="16" s="1"/>
  <c r="P52" i="16"/>
  <c r="R52" i="16" s="1"/>
  <c r="P50" i="16"/>
  <c r="R50" i="16" s="1"/>
  <c r="T50" i="16" s="1"/>
  <c r="U50" i="16" s="1"/>
  <c r="P32" i="16"/>
  <c r="R32" i="16" s="1"/>
  <c r="T32" i="16" s="1"/>
  <c r="U32" i="16" s="1"/>
  <c r="P23" i="16"/>
  <c r="R23" i="16" s="1"/>
  <c r="P19" i="16"/>
  <c r="R19" i="16" s="1"/>
  <c r="T19" i="16" s="1"/>
  <c r="U19" i="16" s="1"/>
  <c r="P49" i="16"/>
  <c r="R49" i="16" s="1"/>
  <c r="P21" i="16"/>
  <c r="R21" i="16" s="1"/>
  <c r="P38" i="16"/>
  <c r="R38" i="16" s="1"/>
  <c r="P47" i="16"/>
  <c r="R47" i="16" s="1"/>
  <c r="P24" i="16"/>
  <c r="R24" i="16" s="1"/>
  <c r="T24" i="16" s="1"/>
  <c r="U24" i="16" s="1"/>
  <c r="P34" i="16"/>
  <c r="R34" i="16" s="1"/>
  <c r="P37" i="16"/>
  <c r="R37" i="16" s="1"/>
  <c r="T37" i="16" s="1"/>
  <c r="U37" i="16" s="1"/>
  <c r="P42" i="16"/>
  <c r="R42" i="16" s="1"/>
  <c r="T42" i="16" s="1"/>
  <c r="U42" i="16" s="1"/>
  <c r="P39" i="16"/>
  <c r="R39" i="16" s="1"/>
  <c r="P35" i="16"/>
  <c r="R35" i="16" s="1"/>
  <c r="T35" i="16" s="1"/>
  <c r="U35" i="16" s="1"/>
  <c r="P30" i="16"/>
  <c r="R30" i="16" s="1"/>
  <c r="P31" i="16"/>
  <c r="R31" i="16" s="1"/>
  <c r="P44" i="16"/>
  <c r="R44" i="16" s="1"/>
  <c r="P43" i="16"/>
  <c r="R43" i="16" s="1"/>
  <c r="P36" i="16"/>
  <c r="R36" i="16" s="1"/>
  <c r="P16" i="16"/>
  <c r="R16" i="16" s="1"/>
  <c r="L18" i="20"/>
  <c r="M18" i="20" s="1"/>
  <c r="J89" i="1"/>
  <c r="K89" i="1" s="1"/>
  <c r="L89" i="1" s="1"/>
  <c r="K49" i="32"/>
  <c r="J49" i="32"/>
  <c r="I49" i="32"/>
  <c r="M49" i="32" s="1"/>
  <c r="T32" i="22"/>
  <c r="U32" i="22" s="1"/>
  <c r="W24" i="25"/>
  <c r="Y24" i="25" s="1"/>
  <c r="W49" i="25"/>
  <c r="Y49" i="25" s="1"/>
  <c r="AA49" i="25" s="1"/>
  <c r="AB49" i="25" s="1"/>
  <c r="W19" i="25"/>
  <c r="Y19" i="25" s="1"/>
  <c r="W22" i="25"/>
  <c r="Y22" i="25" s="1"/>
  <c r="W34" i="25"/>
  <c r="Y34" i="25" s="1"/>
  <c r="W47" i="25"/>
  <c r="Y47" i="25" s="1"/>
  <c r="AA47" i="25" s="1"/>
  <c r="AB47" i="25" s="1"/>
  <c r="W36" i="25"/>
  <c r="Y36" i="25" s="1"/>
  <c r="W43" i="25"/>
  <c r="Y43" i="25" s="1"/>
  <c r="W29" i="25"/>
  <c r="Y29" i="25" s="1"/>
  <c r="W20" i="25"/>
  <c r="Y20" i="25" s="1"/>
  <c r="AA20" i="25" s="1"/>
  <c r="AB20" i="25" s="1"/>
  <c r="W38" i="25"/>
  <c r="Y38" i="25" s="1"/>
  <c r="W33" i="25"/>
  <c r="Y33" i="25" s="1"/>
  <c r="AA33" i="25" s="1"/>
  <c r="AB33" i="25" s="1"/>
  <c r="W51" i="25"/>
  <c r="Y51" i="25" s="1"/>
  <c r="W45" i="25"/>
  <c r="Y45" i="25" s="1"/>
  <c r="AA45" i="25" s="1"/>
  <c r="AB45" i="25" s="1"/>
  <c r="W32" i="25"/>
  <c r="Y32" i="25" s="1"/>
  <c r="W17" i="25"/>
  <c r="Y17" i="25" s="1"/>
  <c r="W30" i="25"/>
  <c r="Y30" i="25" s="1"/>
  <c r="W46" i="25"/>
  <c r="Y46" i="25" s="1"/>
  <c r="W23" i="25"/>
  <c r="Y23" i="25" s="1"/>
  <c r="W44" i="25"/>
  <c r="Y44" i="25" s="1"/>
  <c r="W31" i="25"/>
  <c r="Y31" i="25" s="1"/>
  <c r="AA31" i="25" s="1"/>
  <c r="AB31" i="25" s="1"/>
  <c r="W37" i="25"/>
  <c r="Y37" i="25" s="1"/>
  <c r="W21" i="25"/>
  <c r="Y21" i="25" s="1"/>
  <c r="AA21" i="25" s="1"/>
  <c r="AB21" i="25" s="1"/>
  <c r="W25" i="25"/>
  <c r="Y25" i="25" s="1"/>
  <c r="W48" i="25"/>
  <c r="Y48" i="25" s="1"/>
  <c r="W41" i="25"/>
  <c r="Y41" i="25" s="1"/>
  <c r="W16" i="25"/>
  <c r="Y16" i="25" s="1"/>
  <c r="AA16" i="25" s="1"/>
  <c r="AB16" i="25" s="1"/>
  <c r="W42" i="25"/>
  <c r="Y42" i="25" s="1"/>
  <c r="W50" i="25"/>
  <c r="Y50" i="25" s="1"/>
  <c r="W18" i="25"/>
  <c r="Y18" i="25" s="1"/>
  <c r="W35" i="25"/>
  <c r="Y35" i="25" s="1"/>
  <c r="W15" i="25"/>
  <c r="Y15" i="25" s="1"/>
  <c r="AA15" i="25" s="1"/>
  <c r="AB15" i="25" s="1"/>
  <c r="W28" i="25"/>
  <c r="Y28" i="25" s="1"/>
  <c r="AA28" i="25" s="1"/>
  <c r="AB28" i="25" s="1"/>
  <c r="Z25" i="3"/>
  <c r="AA25" i="3" s="1"/>
  <c r="R13" i="1"/>
  <c r="M50" i="26"/>
  <c r="I80" i="26"/>
  <c r="T35" i="22"/>
  <c r="U35" i="22" s="1"/>
  <c r="E35" i="29"/>
  <c r="G35" i="29" s="1"/>
  <c r="H102" i="1" s="1"/>
  <c r="E23" i="29"/>
  <c r="G23" i="29" s="1"/>
  <c r="E32" i="29"/>
  <c r="G32" i="29" s="1"/>
  <c r="E24" i="29"/>
  <c r="G24" i="29" s="1"/>
  <c r="E18" i="29"/>
  <c r="G18" i="29" s="1"/>
  <c r="E22" i="29"/>
  <c r="G22" i="29" s="1"/>
  <c r="E15" i="29"/>
  <c r="G15" i="29" s="1"/>
  <c r="E25" i="29"/>
  <c r="G25" i="29" s="1"/>
  <c r="E16" i="29"/>
  <c r="G16" i="29" s="1"/>
  <c r="E27" i="29"/>
  <c r="G27" i="29" s="1"/>
  <c r="H101" i="1" s="1"/>
  <c r="E30" i="29"/>
  <c r="G30" i="29" s="1"/>
  <c r="E14" i="29"/>
  <c r="G14" i="29" s="1"/>
  <c r="E26" i="29"/>
  <c r="G26" i="29" s="1"/>
  <c r="E33" i="29"/>
  <c r="G33" i="29" s="1"/>
  <c r="E34" i="29"/>
  <c r="G34" i="29" s="1"/>
  <c r="E17" i="29"/>
  <c r="G17" i="29" s="1"/>
  <c r="E19" i="29"/>
  <c r="G19" i="29" s="1"/>
  <c r="H100" i="1" s="1"/>
  <c r="E31" i="29"/>
  <c r="G31" i="29" s="1"/>
  <c r="K49" i="33"/>
  <c r="J49" i="33"/>
  <c r="I49" i="33"/>
  <c r="M49" i="33" s="1"/>
  <c r="S19" i="4"/>
  <c r="T19" i="4" s="1"/>
  <c r="Z19" i="4"/>
  <c r="AA19" i="4" s="1"/>
  <c r="T31" i="22"/>
  <c r="U31" i="22" s="1"/>
  <c r="J47" i="32"/>
  <c r="K47" i="32"/>
  <c r="I47" i="32"/>
  <c r="M47" i="32" s="1"/>
  <c r="S18" i="5"/>
  <c r="T18" i="5" s="1"/>
  <c r="Z18" i="5"/>
  <c r="AA18" i="5" s="1"/>
  <c r="K64" i="35"/>
  <c r="J64" i="35"/>
  <c r="I64" i="35"/>
  <c r="M64" i="35" s="1"/>
  <c r="S16" i="5"/>
  <c r="T16" i="5" s="1"/>
  <c r="Z16" i="5"/>
  <c r="AA16" i="5" s="1"/>
  <c r="K60" i="33"/>
  <c r="P60" i="33" s="1"/>
  <c r="J60" i="33"/>
  <c r="N60" i="33" s="1"/>
  <c r="I60" i="33"/>
  <c r="M60" i="33" s="1"/>
  <c r="R93" i="1"/>
  <c r="AA20" i="22"/>
  <c r="AB20" i="22" s="1"/>
  <c r="M24" i="16"/>
  <c r="N24" i="16" s="1"/>
  <c r="N16" i="1"/>
  <c r="O16" i="1" s="1"/>
  <c r="P16" i="1" s="1"/>
  <c r="S25" i="5"/>
  <c r="T25" i="5" s="1"/>
  <c r="Z25" i="5"/>
  <c r="AA25" i="5" s="1"/>
  <c r="J48" i="35"/>
  <c r="N48" i="35" s="1"/>
  <c r="I48" i="35"/>
  <c r="M48" i="35" s="1"/>
  <c r="K48" i="35"/>
  <c r="K52" i="16"/>
  <c r="H18" i="21"/>
  <c r="J18" i="21" s="1"/>
  <c r="L18" i="21" s="1"/>
  <c r="M18" i="21" s="1"/>
  <c r="H16" i="21"/>
  <c r="J16" i="21" s="1"/>
  <c r="L16" i="21" s="1"/>
  <c r="M16" i="21" s="1"/>
  <c r="H15" i="21"/>
  <c r="J15" i="21" s="1"/>
  <c r="L15" i="21" s="1"/>
  <c r="M15" i="21" s="1"/>
  <c r="H19" i="21"/>
  <c r="J19" i="21" s="1"/>
  <c r="H17" i="21"/>
  <c r="J17" i="21" s="1"/>
  <c r="L17" i="21" s="1"/>
  <c r="M17" i="21" s="1"/>
  <c r="H14" i="21"/>
  <c r="J14" i="21" s="1"/>
  <c r="L14" i="21" s="1"/>
  <c r="M14" i="21" s="1"/>
  <c r="H13" i="21"/>
  <c r="J13" i="21" s="1"/>
  <c r="L13" i="21" s="1"/>
  <c r="M13" i="21" s="1"/>
  <c r="K67" i="30"/>
  <c r="J67" i="30"/>
  <c r="N67" i="30" s="1"/>
  <c r="I67" i="30"/>
  <c r="M67" i="30" s="1"/>
  <c r="J60" i="35"/>
  <c r="K60" i="35"/>
  <c r="P60" i="35" s="1"/>
  <c r="I60" i="35"/>
  <c r="M60" i="35" s="1"/>
  <c r="P70" i="26"/>
  <c r="P60" i="29"/>
  <c r="N47" i="29"/>
  <c r="M44" i="29"/>
  <c r="I78" i="29"/>
  <c r="I77" i="29"/>
  <c r="X32" i="16"/>
  <c r="X19" i="16"/>
  <c r="X36" i="16"/>
  <c r="X35" i="16"/>
  <c r="X25" i="16"/>
  <c r="X43" i="16"/>
  <c r="X49" i="16"/>
  <c r="X46" i="16"/>
  <c r="X29" i="16"/>
  <c r="X39" i="16"/>
  <c r="X38" i="16"/>
  <c r="X30" i="16"/>
  <c r="X21" i="16"/>
  <c r="X33" i="16"/>
  <c r="X20" i="16"/>
  <c r="X42" i="16"/>
  <c r="X45" i="16"/>
  <c r="X52" i="16"/>
  <c r="X18" i="16"/>
  <c r="X37" i="16"/>
  <c r="X48" i="16"/>
  <c r="X26" i="16"/>
  <c r="X31" i="16"/>
  <c r="X50" i="16"/>
  <c r="X17" i="16"/>
  <c r="X24" i="16"/>
  <c r="X16" i="16"/>
  <c r="X22" i="16"/>
  <c r="X47" i="16"/>
  <c r="X34" i="16"/>
  <c r="X23" i="16"/>
  <c r="X51" i="16"/>
  <c r="X44" i="16"/>
  <c r="P51" i="26"/>
  <c r="I47" i="16"/>
  <c r="K47" i="16" s="1"/>
  <c r="M47" i="16" s="1"/>
  <c r="N47" i="16" s="1"/>
  <c r="I46" i="16"/>
  <c r="K46" i="16" s="1"/>
  <c r="M46" i="16" s="1"/>
  <c r="N46" i="16" s="1"/>
  <c r="I39" i="16"/>
  <c r="K39" i="16" s="1"/>
  <c r="K61" i="32"/>
  <c r="I61" i="32"/>
  <c r="M61" i="32" s="1"/>
  <c r="J61" i="32"/>
  <c r="N61" i="32" s="1"/>
  <c r="W31" i="22"/>
  <c r="Y31" i="22" s="1"/>
  <c r="AA31" i="22" s="1"/>
  <c r="AB31" i="22" s="1"/>
  <c r="P66" i="26"/>
  <c r="P62" i="27"/>
  <c r="O18" i="1"/>
  <c r="P18" i="1" s="1"/>
  <c r="I50" i="34"/>
  <c r="M50" i="34" s="1"/>
  <c r="J50" i="34"/>
  <c r="N50" i="34" s="1"/>
  <c r="K50" i="34"/>
  <c r="E31" i="26"/>
  <c r="G31" i="26" s="1"/>
  <c r="E29" i="26"/>
  <c r="G29" i="26" s="1"/>
  <c r="E20" i="26"/>
  <c r="G20" i="26" s="1"/>
  <c r="E28" i="26"/>
  <c r="G28" i="26" s="1"/>
  <c r="E38" i="26"/>
  <c r="G38" i="26" s="1"/>
  <c r="E19" i="26"/>
  <c r="G19" i="26" s="1"/>
  <c r="E21" i="26"/>
  <c r="G21" i="26" s="1"/>
  <c r="E16" i="26"/>
  <c r="G16" i="26" s="1"/>
  <c r="E30" i="26"/>
  <c r="G30" i="26" s="1"/>
  <c r="E25" i="26"/>
  <c r="G25" i="26" s="1"/>
  <c r="E15" i="26"/>
  <c r="G15" i="26" s="1"/>
  <c r="E40" i="26"/>
  <c r="G40" i="26" s="1"/>
  <c r="E35" i="26"/>
  <c r="G35" i="26" s="1"/>
  <c r="E17" i="26"/>
  <c r="G17" i="26" s="1"/>
  <c r="E42" i="26"/>
  <c r="G42" i="26" s="1"/>
  <c r="H53" i="1" s="1"/>
  <c r="E27" i="26"/>
  <c r="G27" i="26" s="1"/>
  <c r="E26" i="26"/>
  <c r="G26" i="26" s="1"/>
  <c r="E37" i="26"/>
  <c r="G37" i="26" s="1"/>
  <c r="E22" i="26"/>
  <c r="G22" i="26" s="1"/>
  <c r="H51" i="1" s="1"/>
  <c r="E36" i="26"/>
  <c r="G36" i="26" s="1"/>
  <c r="E18" i="26"/>
  <c r="G18" i="26" s="1"/>
  <c r="E32" i="26"/>
  <c r="G32" i="26" s="1"/>
  <c r="H52" i="1" s="1"/>
  <c r="E41" i="26"/>
  <c r="G41" i="26" s="1"/>
  <c r="E39" i="26"/>
  <c r="G39" i="26" s="1"/>
  <c r="P68" i="24"/>
  <c r="I47" i="33"/>
  <c r="M47" i="33" s="1"/>
  <c r="J47" i="33"/>
  <c r="K47" i="33"/>
  <c r="P60" i="27"/>
  <c r="T20" i="18"/>
  <c r="U20" i="18" s="1"/>
  <c r="N83" i="1"/>
  <c r="N48" i="28"/>
  <c r="K74" i="18"/>
  <c r="W35" i="18" s="1"/>
  <c r="Y35" i="18" s="1"/>
  <c r="AA35" i="18" s="1"/>
  <c r="AB35" i="18" s="1"/>
  <c r="L20" i="23"/>
  <c r="M20" i="23" s="1"/>
  <c r="Z15" i="10"/>
  <c r="AA15" i="10" s="1"/>
  <c r="P63" i="27"/>
  <c r="P50" i="25"/>
  <c r="R50" i="25" s="1"/>
  <c r="P31" i="25"/>
  <c r="R31" i="25" s="1"/>
  <c r="P17" i="25"/>
  <c r="R17" i="25" s="1"/>
  <c r="P61" i="16"/>
  <c r="K92" i="16"/>
  <c r="H14" i="20"/>
  <c r="J14" i="20" s="1"/>
  <c r="L14" i="20" s="1"/>
  <c r="M14" i="20" s="1"/>
  <c r="P64" i="24"/>
  <c r="S19" i="5"/>
  <c r="T19" i="5" s="1"/>
  <c r="P49" i="29"/>
  <c r="P74" i="31"/>
  <c r="N66" i="31"/>
  <c r="Z20" i="5"/>
  <c r="AA20" i="5" s="1"/>
  <c r="H21" i="15"/>
  <c r="J21" i="15" s="1"/>
  <c r="L21" i="15" s="1"/>
  <c r="M21" i="15" s="1"/>
  <c r="H13" i="15"/>
  <c r="J13" i="15" s="1"/>
  <c r="L13" i="15" s="1"/>
  <c r="M13" i="15" s="1"/>
  <c r="H15" i="15"/>
  <c r="J15" i="15" s="1"/>
  <c r="L15" i="15" s="1"/>
  <c r="M15" i="15" s="1"/>
  <c r="H22" i="15"/>
  <c r="J22" i="15" s="1"/>
  <c r="H19" i="15"/>
  <c r="J19" i="15" s="1"/>
  <c r="L19" i="15" s="1"/>
  <c r="M19" i="15" s="1"/>
  <c r="H16" i="15"/>
  <c r="J16" i="15" s="1"/>
  <c r="L16" i="15" s="1"/>
  <c r="M16" i="15" s="1"/>
  <c r="H20" i="15"/>
  <c r="J20" i="15" s="1"/>
  <c r="L20" i="15" s="1"/>
  <c r="M20" i="15" s="1"/>
  <c r="H12" i="15"/>
  <c r="J12" i="15" s="1"/>
  <c r="L12" i="15" s="1"/>
  <c r="M12" i="15" s="1"/>
  <c r="H17" i="15"/>
  <c r="J17" i="15" s="1"/>
  <c r="L17" i="15" s="1"/>
  <c r="M17" i="15" s="1"/>
  <c r="H18" i="15"/>
  <c r="J18" i="15" s="1"/>
  <c r="L18" i="15" s="1"/>
  <c r="M18" i="15" s="1"/>
  <c r="H14" i="15"/>
  <c r="J14" i="15" s="1"/>
  <c r="L14" i="15" s="1"/>
  <c r="M14" i="15" s="1"/>
  <c r="N52" i="26"/>
  <c r="P63" i="29"/>
  <c r="N55" i="28"/>
  <c r="J55" i="35"/>
  <c r="I55" i="35"/>
  <c r="M55" i="35" s="1"/>
  <c r="K55" i="35"/>
  <c r="P55" i="35" s="1"/>
  <c r="R27" i="11"/>
  <c r="V15" i="19"/>
  <c r="X15" i="19" s="1"/>
  <c r="Z15" i="19" s="1"/>
  <c r="AA15" i="19" s="1"/>
  <c r="V22" i="19"/>
  <c r="X22" i="19" s="1"/>
  <c r="Z22" i="19" s="1"/>
  <c r="AA22" i="19" s="1"/>
  <c r="V19" i="19"/>
  <c r="X19" i="19" s="1"/>
  <c r="Z19" i="19" s="1"/>
  <c r="AA19" i="19" s="1"/>
  <c r="V16" i="19"/>
  <c r="X16" i="19" s="1"/>
  <c r="Z16" i="19" s="1"/>
  <c r="AA16" i="19" s="1"/>
  <c r="V13" i="19"/>
  <c r="X13" i="19" s="1"/>
  <c r="V17" i="19"/>
  <c r="X17" i="19" s="1"/>
  <c r="Z17" i="19" s="1"/>
  <c r="AA17" i="19" s="1"/>
  <c r="V18" i="19"/>
  <c r="X18" i="19" s="1"/>
  <c r="V14" i="19"/>
  <c r="X14" i="19" s="1"/>
  <c r="V20" i="19"/>
  <c r="X20" i="19" s="1"/>
  <c r="V21" i="19"/>
  <c r="X21" i="19" s="1"/>
  <c r="Z21" i="19" s="1"/>
  <c r="AA21" i="19" s="1"/>
  <c r="V23" i="19"/>
  <c r="X23" i="19" s="1"/>
  <c r="R28" i="1"/>
  <c r="AA38" i="11"/>
  <c r="AB38" i="11" s="1"/>
  <c r="P63" i="34"/>
  <c r="K53" i="34"/>
  <c r="J53" i="34"/>
  <c r="N53" i="34" s="1"/>
  <c r="I53" i="34"/>
  <c r="M53" i="34" s="1"/>
  <c r="N93" i="1"/>
  <c r="K44" i="35"/>
  <c r="J44" i="35"/>
  <c r="I44" i="35"/>
  <c r="G79" i="35"/>
  <c r="G80" i="35"/>
  <c r="K65" i="34"/>
  <c r="J65" i="34"/>
  <c r="I65" i="34"/>
  <c r="M65" i="34" s="1"/>
  <c r="N56" i="31"/>
  <c r="J86" i="31"/>
  <c r="N61" i="29"/>
  <c r="P65" i="28"/>
  <c r="J44" i="33"/>
  <c r="K44" i="33"/>
  <c r="I44" i="33"/>
  <c r="G74" i="33"/>
  <c r="N67" i="31"/>
  <c r="P57" i="27"/>
  <c r="I49" i="16"/>
  <c r="K49" i="16" s="1"/>
  <c r="M49" i="16" s="1"/>
  <c r="N49" i="16" s="1"/>
  <c r="I36" i="16"/>
  <c r="K36" i="16" s="1"/>
  <c r="M36" i="16" s="1"/>
  <c r="N36" i="16" s="1"/>
  <c r="I38" i="16"/>
  <c r="K38" i="16" s="1"/>
  <c r="M38" i="16" s="1"/>
  <c r="N38" i="16" s="1"/>
  <c r="K71" i="30"/>
  <c r="P71" i="30" s="1"/>
  <c r="J71" i="30"/>
  <c r="N71" i="30" s="1"/>
  <c r="I71" i="30"/>
  <c r="M71" i="30" s="1"/>
  <c r="W25" i="22"/>
  <c r="Y25" i="22" s="1"/>
  <c r="AA25" i="22" s="1"/>
  <c r="AB25" i="22" s="1"/>
  <c r="N57" i="26"/>
  <c r="P65" i="24"/>
  <c r="P67" i="26"/>
  <c r="I57" i="30"/>
  <c r="M57" i="30" s="1"/>
  <c r="K57" i="30"/>
  <c r="J57" i="30"/>
  <c r="N57" i="30" s="1"/>
  <c r="N50" i="26"/>
  <c r="J80" i="26"/>
  <c r="I52" i="34"/>
  <c r="M52" i="34" s="1"/>
  <c r="J52" i="34"/>
  <c r="K52" i="34"/>
  <c r="Z14" i="9"/>
  <c r="AA14" i="9" s="1"/>
  <c r="T33" i="18"/>
  <c r="U33" i="18" s="1"/>
  <c r="P48" i="28"/>
  <c r="L18" i="23"/>
  <c r="M18" i="23" s="1"/>
  <c r="N59" i="26"/>
  <c r="P37" i="25"/>
  <c r="R37" i="25" s="1"/>
  <c r="T37" i="25" s="1"/>
  <c r="U37" i="25" s="1"/>
  <c r="P41" i="25"/>
  <c r="R41" i="25" s="1"/>
  <c r="T41" i="25" s="1"/>
  <c r="U41" i="25" s="1"/>
  <c r="P30" i="25"/>
  <c r="R30" i="25" s="1"/>
  <c r="H16" i="20"/>
  <c r="J16" i="20" s="1"/>
  <c r="L16" i="20" s="1"/>
  <c r="M16" i="20" s="1"/>
  <c r="P55" i="26"/>
  <c r="N74" i="31"/>
  <c r="K65" i="30"/>
  <c r="I65" i="30"/>
  <c r="M65" i="30" s="1"/>
  <c r="J65" i="30"/>
  <c r="N65" i="30" s="1"/>
  <c r="K54" i="33"/>
  <c r="J54" i="33"/>
  <c r="I54" i="33"/>
  <c r="M54" i="33" s="1"/>
  <c r="O23" i="19"/>
  <c r="Q23" i="19" s="1"/>
  <c r="O20" i="19"/>
  <c r="Q20" i="19" s="1"/>
  <c r="S20" i="19" s="1"/>
  <c r="T20" i="19" s="1"/>
  <c r="O17" i="19"/>
  <c r="Q17" i="19" s="1"/>
  <c r="O14" i="19"/>
  <c r="Q14" i="19" s="1"/>
  <c r="O16" i="19"/>
  <c r="Q16" i="19" s="1"/>
  <c r="O15" i="19"/>
  <c r="Q15" i="19" s="1"/>
  <c r="O21" i="19"/>
  <c r="Q21" i="19" s="1"/>
  <c r="O19" i="19"/>
  <c r="Q19" i="19" s="1"/>
  <c r="S19" i="19" s="1"/>
  <c r="T19" i="19" s="1"/>
  <c r="O22" i="19"/>
  <c r="Q22" i="19" s="1"/>
  <c r="O13" i="19"/>
  <c r="Q13" i="19" s="1"/>
  <c r="O18" i="19"/>
  <c r="Q18" i="19" s="1"/>
  <c r="S18" i="19" s="1"/>
  <c r="T18" i="19" s="1"/>
  <c r="H21" i="14"/>
  <c r="J21" i="14" s="1"/>
  <c r="L21" i="14" s="1"/>
  <c r="M21" i="14" s="1"/>
  <c r="H14" i="14"/>
  <c r="J14" i="14" s="1"/>
  <c r="L14" i="14" s="1"/>
  <c r="M14" i="14" s="1"/>
  <c r="H19" i="14"/>
  <c r="J19" i="14" s="1"/>
  <c r="L19" i="14" s="1"/>
  <c r="M19" i="14" s="1"/>
  <c r="H20" i="14"/>
  <c r="J20" i="14" s="1"/>
  <c r="L20" i="14" s="1"/>
  <c r="M20" i="14" s="1"/>
  <c r="H13" i="14"/>
  <c r="J13" i="14" s="1"/>
  <c r="L13" i="14" s="1"/>
  <c r="M13" i="14" s="1"/>
  <c r="H22" i="14"/>
  <c r="J22" i="14" s="1"/>
  <c r="L22" i="14" s="1"/>
  <c r="M22" i="14" s="1"/>
  <c r="H18" i="14"/>
  <c r="J18" i="14" s="1"/>
  <c r="L18" i="14" s="1"/>
  <c r="M18" i="14" s="1"/>
  <c r="H23" i="14"/>
  <c r="J23" i="14" s="1"/>
  <c r="H16" i="14"/>
  <c r="J16" i="14" s="1"/>
  <c r="L16" i="14" s="1"/>
  <c r="M16" i="14" s="1"/>
  <c r="H17" i="14"/>
  <c r="J17" i="14" s="1"/>
  <c r="L17" i="14" s="1"/>
  <c r="M17" i="14" s="1"/>
  <c r="H15" i="14"/>
  <c r="J15" i="14" s="1"/>
  <c r="L15" i="14" s="1"/>
  <c r="M15" i="14" s="1"/>
  <c r="K55" i="33"/>
  <c r="J55" i="33"/>
  <c r="I55" i="33"/>
  <c r="M55" i="33" s="1"/>
  <c r="I15" i="22"/>
  <c r="K15" i="22" s="1"/>
  <c r="M15" i="22" s="1"/>
  <c r="N15" i="22" s="1"/>
  <c r="Z18" i="10"/>
  <c r="AA18" i="10" s="1"/>
  <c r="R25" i="11"/>
  <c r="T25" i="11" s="1"/>
  <c r="U25" i="11" s="1"/>
  <c r="R38" i="11"/>
  <c r="K68" i="30"/>
  <c r="P68" i="30" s="1"/>
  <c r="J68" i="30"/>
  <c r="I68" i="30"/>
  <c r="M68" i="30" s="1"/>
  <c r="N44" i="29"/>
  <c r="J78" i="29"/>
  <c r="J77" i="29"/>
  <c r="K73" i="30"/>
  <c r="I73" i="30"/>
  <c r="M73" i="30" s="1"/>
  <c r="J73" i="30"/>
  <c r="N73" i="30" s="1"/>
  <c r="M50" i="16"/>
  <c r="N50" i="16" s="1"/>
  <c r="K31" i="16"/>
  <c r="M31" i="16" s="1"/>
  <c r="N31" i="16" s="1"/>
  <c r="J59" i="35"/>
  <c r="N59" i="35" s="1"/>
  <c r="K59" i="35"/>
  <c r="I59" i="35"/>
  <c r="M59" i="35" s="1"/>
  <c r="AA24" i="22"/>
  <c r="AB24" i="22" s="1"/>
  <c r="E38" i="27"/>
  <c r="G38" i="27" s="1"/>
  <c r="E31" i="27"/>
  <c r="G31" i="27" s="1"/>
  <c r="E29" i="27"/>
  <c r="G29" i="27" s="1"/>
  <c r="E40" i="27"/>
  <c r="G40" i="27" s="1"/>
  <c r="E25" i="27"/>
  <c r="G25" i="27" s="1"/>
  <c r="E22" i="27"/>
  <c r="G22" i="27" s="1"/>
  <c r="H55" i="1" s="1"/>
  <c r="E17" i="27"/>
  <c r="G17" i="27" s="1"/>
  <c r="E26" i="27"/>
  <c r="G26" i="27" s="1"/>
  <c r="E37" i="27"/>
  <c r="G37" i="27" s="1"/>
  <c r="E20" i="27"/>
  <c r="G20" i="27" s="1"/>
  <c r="E15" i="27"/>
  <c r="G15" i="27" s="1"/>
  <c r="E36" i="27"/>
  <c r="G36" i="27" s="1"/>
  <c r="E27" i="27"/>
  <c r="G27" i="27" s="1"/>
  <c r="E42" i="27"/>
  <c r="G42" i="27" s="1"/>
  <c r="H57" i="1" s="1"/>
  <c r="E18" i="27"/>
  <c r="G18" i="27" s="1"/>
  <c r="E28" i="27"/>
  <c r="G28" i="27" s="1"/>
  <c r="E16" i="27"/>
  <c r="G16" i="27" s="1"/>
  <c r="E41" i="27"/>
  <c r="G41" i="27" s="1"/>
  <c r="E35" i="27"/>
  <c r="G35" i="27" s="1"/>
  <c r="E19" i="27"/>
  <c r="G19" i="27" s="1"/>
  <c r="E39" i="27"/>
  <c r="G39" i="27" s="1"/>
  <c r="E30" i="27"/>
  <c r="G30" i="27" s="1"/>
  <c r="E32" i="27"/>
  <c r="G32" i="27" s="1"/>
  <c r="H56" i="1" s="1"/>
  <c r="E21" i="27"/>
  <c r="G21" i="27" s="1"/>
  <c r="K52" i="32"/>
  <c r="I52" i="32"/>
  <c r="M52" i="32" s="1"/>
  <c r="J52" i="32"/>
  <c r="N52" i="32" s="1"/>
  <c r="O17" i="13"/>
  <c r="Q17" i="13" s="1"/>
  <c r="S17" i="13" s="1"/>
  <c r="T17" i="13" s="1"/>
  <c r="O22" i="13"/>
  <c r="Q22" i="13" s="1"/>
  <c r="S22" i="13" s="1"/>
  <c r="T22" i="13" s="1"/>
  <c r="O15" i="13"/>
  <c r="Q15" i="13" s="1"/>
  <c r="S15" i="13" s="1"/>
  <c r="T15" i="13" s="1"/>
  <c r="O23" i="13"/>
  <c r="Q23" i="13" s="1"/>
  <c r="O16" i="13"/>
  <c r="Q16" i="13" s="1"/>
  <c r="O18" i="13"/>
  <c r="Q18" i="13" s="1"/>
  <c r="S18" i="13" s="1"/>
  <c r="T18" i="13" s="1"/>
  <c r="O13" i="13"/>
  <c r="Q13" i="13" s="1"/>
  <c r="O20" i="13"/>
  <c r="Q20" i="13" s="1"/>
  <c r="O14" i="13"/>
  <c r="Q14" i="13" s="1"/>
  <c r="O19" i="13"/>
  <c r="Q19" i="13" s="1"/>
  <c r="O21" i="13"/>
  <c r="Q21" i="13" s="1"/>
  <c r="S21" i="13" s="1"/>
  <c r="T21" i="13" s="1"/>
  <c r="K45" i="33"/>
  <c r="J45" i="33"/>
  <c r="I45" i="33"/>
  <c r="M45" i="33" s="1"/>
  <c r="P50" i="26"/>
  <c r="K80" i="26"/>
  <c r="Z15" i="20"/>
  <c r="AA15" i="20" s="1"/>
  <c r="W24" i="18"/>
  <c r="Y24" i="18" s="1"/>
  <c r="AA24" i="18" s="1"/>
  <c r="AB24" i="18" s="1"/>
  <c r="W26" i="18"/>
  <c r="Y26" i="18" s="1"/>
  <c r="AA26" i="18" s="1"/>
  <c r="AB26" i="18" s="1"/>
  <c r="W17" i="18"/>
  <c r="Y17" i="18" s="1"/>
  <c r="AA17" i="18" s="1"/>
  <c r="AB17" i="18" s="1"/>
  <c r="L14" i="23"/>
  <c r="M14" i="23" s="1"/>
  <c r="P59" i="27"/>
  <c r="P46" i="25"/>
  <c r="R46" i="25" s="1"/>
  <c r="T46" i="25" s="1"/>
  <c r="U46" i="25" s="1"/>
  <c r="P43" i="25"/>
  <c r="R43" i="25" s="1"/>
  <c r="T43" i="25" s="1"/>
  <c r="U43" i="25" s="1"/>
  <c r="P45" i="25"/>
  <c r="R45" i="25" s="1"/>
  <c r="O20" i="12"/>
  <c r="Q20" i="12" s="1"/>
  <c r="O13" i="12"/>
  <c r="Q13" i="12" s="1"/>
  <c r="O23" i="12"/>
  <c r="Q23" i="12" s="1"/>
  <c r="O16" i="12"/>
  <c r="Q16" i="12" s="1"/>
  <c r="O21" i="12"/>
  <c r="Q21" i="12" s="1"/>
  <c r="O22" i="12"/>
  <c r="Q22" i="12" s="1"/>
  <c r="O17" i="12"/>
  <c r="Q17" i="12" s="1"/>
  <c r="O19" i="12"/>
  <c r="Q19" i="12" s="1"/>
  <c r="S19" i="12" s="1"/>
  <c r="T19" i="12" s="1"/>
  <c r="O15" i="12"/>
  <c r="Q15" i="12" s="1"/>
  <c r="S15" i="12" s="1"/>
  <c r="T15" i="12" s="1"/>
  <c r="O18" i="12"/>
  <c r="Q18" i="12" s="1"/>
  <c r="S18" i="12" s="1"/>
  <c r="T18" i="12" s="1"/>
  <c r="O14" i="12"/>
  <c r="Q14" i="12" s="1"/>
  <c r="S14" i="12" s="1"/>
  <c r="T14" i="12" s="1"/>
  <c r="H13" i="20"/>
  <c r="J13" i="20" s="1"/>
  <c r="L13" i="20" s="1"/>
  <c r="M13" i="20" s="1"/>
  <c r="N66" i="24"/>
  <c r="I18" i="22"/>
  <c r="K18" i="22" s="1"/>
  <c r="M18" i="22" s="1"/>
  <c r="N18" i="22" s="1"/>
  <c r="K55" i="32"/>
  <c r="P55" i="32" s="1"/>
  <c r="J55" i="32"/>
  <c r="I55" i="32"/>
  <c r="M55" i="32" s="1"/>
  <c r="N73" i="24"/>
  <c r="I66" i="30"/>
  <c r="M66" i="30" s="1"/>
  <c r="J66" i="30"/>
  <c r="N66" i="30" s="1"/>
  <c r="K66" i="30"/>
  <c r="P66" i="30" s="1"/>
  <c r="Z16" i="10"/>
  <c r="AA16" i="10" s="1"/>
  <c r="V23" i="14"/>
  <c r="X23" i="14" s="1"/>
  <c r="V16" i="14"/>
  <c r="X16" i="14" s="1"/>
  <c r="Z16" i="14" s="1"/>
  <c r="AA16" i="14" s="1"/>
  <c r="V21" i="14"/>
  <c r="X21" i="14" s="1"/>
  <c r="Z21" i="14" s="1"/>
  <c r="AA21" i="14" s="1"/>
  <c r="V22" i="14"/>
  <c r="X22" i="14" s="1"/>
  <c r="Z22" i="14" s="1"/>
  <c r="AA22" i="14" s="1"/>
  <c r="V15" i="14"/>
  <c r="X15" i="14" s="1"/>
  <c r="V20" i="14"/>
  <c r="X20" i="14" s="1"/>
  <c r="V18" i="14"/>
  <c r="X18" i="14" s="1"/>
  <c r="V14" i="14"/>
  <c r="X14" i="14" s="1"/>
  <c r="V19" i="14"/>
  <c r="X19" i="14" s="1"/>
  <c r="Z19" i="14" s="1"/>
  <c r="AA19" i="14" s="1"/>
  <c r="V17" i="14"/>
  <c r="X17" i="14" s="1"/>
  <c r="V13" i="14"/>
  <c r="X13" i="14" s="1"/>
  <c r="Z13" i="14" s="1"/>
  <c r="AA13" i="14" s="1"/>
  <c r="J57" i="32"/>
  <c r="N57" i="32" s="1"/>
  <c r="I57" i="32"/>
  <c r="M57" i="32" s="1"/>
  <c r="K57" i="32"/>
  <c r="P52" i="27"/>
  <c r="I23" i="22"/>
  <c r="K23" i="22" s="1"/>
  <c r="M23" i="22" s="1"/>
  <c r="N23" i="22" s="1"/>
  <c r="R24" i="11"/>
  <c r="R23" i="11"/>
  <c r="AA23" i="11" s="1"/>
  <c r="AB23" i="11" s="1"/>
  <c r="P56" i="31"/>
  <c r="K86" i="31"/>
  <c r="K49" i="34"/>
  <c r="I49" i="34"/>
  <c r="J49" i="34"/>
  <c r="G85" i="34"/>
  <c r="G84" i="34"/>
  <c r="L20" i="10"/>
  <c r="M20" i="10" s="1"/>
  <c r="J24" i="1"/>
  <c r="K24" i="1" s="1"/>
  <c r="L24" i="1" s="1"/>
  <c r="P42" i="23"/>
  <c r="E30" i="31"/>
  <c r="G30" i="31" s="1"/>
  <c r="E39" i="31"/>
  <c r="G39" i="31" s="1"/>
  <c r="E27" i="31"/>
  <c r="G27" i="31" s="1"/>
  <c r="E23" i="31"/>
  <c r="G23" i="31" s="1"/>
  <c r="E43" i="31"/>
  <c r="G43" i="31" s="1"/>
  <c r="E34" i="31"/>
  <c r="G34" i="31" s="1"/>
  <c r="E48" i="31"/>
  <c r="G48" i="31" s="1"/>
  <c r="H69" i="1" s="1"/>
  <c r="E24" i="31"/>
  <c r="G24" i="31" s="1"/>
  <c r="H67" i="1" s="1"/>
  <c r="E20" i="31"/>
  <c r="G20" i="31" s="1"/>
  <c r="E35" i="31"/>
  <c r="G35" i="31" s="1"/>
  <c r="E42" i="31"/>
  <c r="G42" i="31" s="1"/>
  <c r="E17" i="31"/>
  <c r="G17" i="31" s="1"/>
  <c r="E31" i="31"/>
  <c r="G31" i="31" s="1"/>
  <c r="E32" i="31"/>
  <c r="G32" i="31" s="1"/>
  <c r="E41" i="31"/>
  <c r="G41" i="31" s="1"/>
  <c r="E18" i="31"/>
  <c r="G18" i="31" s="1"/>
  <c r="E15" i="31"/>
  <c r="G15" i="31" s="1"/>
  <c r="E36" i="31"/>
  <c r="G36" i="31" s="1"/>
  <c r="H68" i="1" s="1"/>
  <c r="E33" i="31"/>
  <c r="G33" i="31" s="1"/>
  <c r="E40" i="31"/>
  <c r="G40" i="31" s="1"/>
  <c r="E19" i="31"/>
  <c r="G19" i="31" s="1"/>
  <c r="E44" i="31"/>
  <c r="G44" i="31" s="1"/>
  <c r="E16" i="31"/>
  <c r="G16" i="31" s="1"/>
  <c r="E47" i="31"/>
  <c r="G47" i="31" s="1"/>
  <c r="E21" i="31"/>
  <c r="G21" i="31" s="1"/>
  <c r="E29" i="31"/>
  <c r="G29" i="31" s="1"/>
  <c r="E45" i="31"/>
  <c r="G45" i="31" s="1"/>
  <c r="E46" i="31"/>
  <c r="G46" i="31" s="1"/>
  <c r="E28" i="31"/>
  <c r="G28" i="31" s="1"/>
  <c r="E22" i="31"/>
  <c r="G22" i="31" s="1"/>
  <c r="I62" i="34"/>
  <c r="M62" i="34" s="1"/>
  <c r="K62" i="34"/>
  <c r="J62" i="34"/>
  <c r="T18" i="22"/>
  <c r="U18" i="22" s="1"/>
  <c r="P63" i="28"/>
  <c r="N59" i="29"/>
  <c r="K58" i="32"/>
  <c r="P58" i="32" s="1"/>
  <c r="J58" i="32"/>
  <c r="I58" i="32"/>
  <c r="M58" i="32" s="1"/>
  <c r="P44" i="29"/>
  <c r="K78" i="29"/>
  <c r="K77" i="29"/>
  <c r="P55" i="29"/>
  <c r="K61" i="33"/>
  <c r="P61" i="33" s="1"/>
  <c r="I61" i="33"/>
  <c r="M61" i="33" s="1"/>
  <c r="J61" i="33"/>
  <c r="I44" i="16"/>
  <c r="K44" i="16" s="1"/>
  <c r="M44" i="16" s="1"/>
  <c r="N44" i="16" s="1"/>
  <c r="I42" i="16"/>
  <c r="K42" i="16" s="1"/>
  <c r="M42" i="16" s="1"/>
  <c r="N42" i="16" s="1"/>
  <c r="I29" i="16"/>
  <c r="K29" i="16" s="1"/>
  <c r="M29" i="16" s="1"/>
  <c r="N29" i="16" s="1"/>
  <c r="I59" i="33"/>
  <c r="M59" i="33" s="1"/>
  <c r="J59" i="33"/>
  <c r="N59" i="33" s="1"/>
  <c r="K59" i="33"/>
  <c r="P59" i="33" s="1"/>
  <c r="W17" i="22"/>
  <c r="Y17" i="22" s="1"/>
  <c r="AA17" i="22" s="1"/>
  <c r="AB17" i="22" s="1"/>
  <c r="W33" i="22"/>
  <c r="Y33" i="22" s="1"/>
  <c r="AA33" i="22" s="1"/>
  <c r="AB33" i="22" s="1"/>
  <c r="N50" i="27"/>
  <c r="J79" i="27"/>
  <c r="J62" i="30"/>
  <c r="N62" i="30" s="1"/>
  <c r="I62" i="30"/>
  <c r="M62" i="30" s="1"/>
  <c r="K62" i="30"/>
  <c r="P55" i="27"/>
  <c r="P63" i="26"/>
  <c r="J45" i="35"/>
  <c r="I45" i="35"/>
  <c r="M45" i="35" s="1"/>
  <c r="K45" i="35"/>
  <c r="P45" i="35" s="1"/>
  <c r="O18" i="21"/>
  <c r="Q18" i="21" s="1"/>
  <c r="S18" i="21" s="1"/>
  <c r="T18" i="21" s="1"/>
  <c r="O19" i="21"/>
  <c r="Q19" i="21" s="1"/>
  <c r="O16" i="21"/>
  <c r="Q16" i="21" s="1"/>
  <c r="S16" i="21" s="1"/>
  <c r="T16" i="21" s="1"/>
  <c r="O15" i="21"/>
  <c r="Q15" i="21" s="1"/>
  <c r="O17" i="21"/>
  <c r="Q17" i="21" s="1"/>
  <c r="S17" i="21" s="1"/>
  <c r="T17" i="21" s="1"/>
  <c r="O13" i="21"/>
  <c r="Q13" i="21" s="1"/>
  <c r="O14" i="21"/>
  <c r="Q14" i="21" s="1"/>
  <c r="P58" i="27"/>
  <c r="Z13" i="20"/>
  <c r="AA13" i="20" s="1"/>
  <c r="N62" i="31"/>
  <c r="T35" i="18"/>
  <c r="U35" i="18" s="1"/>
  <c r="T18" i="18"/>
  <c r="U18" i="18" s="1"/>
  <c r="N66" i="28"/>
  <c r="N61" i="27"/>
  <c r="V18" i="13"/>
  <c r="X18" i="13" s="1"/>
  <c r="Z18" i="13" s="1"/>
  <c r="AA18" i="13" s="1"/>
  <c r="V23" i="13"/>
  <c r="X23" i="13" s="1"/>
  <c r="V16" i="13"/>
  <c r="X16" i="13" s="1"/>
  <c r="Z16" i="13" s="1"/>
  <c r="AA16" i="13" s="1"/>
  <c r="V21" i="13"/>
  <c r="X21" i="13" s="1"/>
  <c r="V15" i="13"/>
  <c r="X15" i="13" s="1"/>
  <c r="V20" i="13"/>
  <c r="X20" i="13" s="1"/>
  <c r="Z20" i="13" s="1"/>
  <c r="AA20" i="13" s="1"/>
  <c r="V14" i="13"/>
  <c r="X14" i="13" s="1"/>
  <c r="Z14" i="13" s="1"/>
  <c r="AA14" i="13" s="1"/>
  <c r="V17" i="13"/>
  <c r="X17" i="13" s="1"/>
  <c r="V19" i="13"/>
  <c r="X19" i="13" s="1"/>
  <c r="Z19" i="13" s="1"/>
  <c r="AA19" i="13" s="1"/>
  <c r="V13" i="13"/>
  <c r="X13" i="13" s="1"/>
  <c r="Z13" i="13" s="1"/>
  <c r="AA13" i="13" s="1"/>
  <c r="V22" i="13"/>
  <c r="X22" i="13" s="1"/>
  <c r="P64" i="31"/>
  <c r="P27" i="17"/>
  <c r="R27" i="17" s="1"/>
  <c r="T27" i="17" s="1"/>
  <c r="U27" i="17" s="1"/>
  <c r="P20" i="17"/>
  <c r="R20" i="17" s="1"/>
  <c r="P14" i="17"/>
  <c r="R14" i="17" s="1"/>
  <c r="T14" i="17" s="1"/>
  <c r="U14" i="17" s="1"/>
  <c r="P24" i="17"/>
  <c r="R24" i="17" s="1"/>
  <c r="P38" i="17"/>
  <c r="R38" i="17" s="1"/>
  <c r="P18" i="17"/>
  <c r="R18" i="17" s="1"/>
  <c r="P16" i="17"/>
  <c r="R16" i="17" s="1"/>
  <c r="P25" i="17"/>
  <c r="R25" i="17" s="1"/>
  <c r="P33" i="17"/>
  <c r="R33" i="17" s="1"/>
  <c r="T33" i="17" s="1"/>
  <c r="U33" i="17" s="1"/>
  <c r="P19" i="17"/>
  <c r="R19" i="17" s="1"/>
  <c r="T19" i="17" s="1"/>
  <c r="U19" i="17" s="1"/>
  <c r="P37" i="17"/>
  <c r="R37" i="17" s="1"/>
  <c r="T37" i="17" s="1"/>
  <c r="U37" i="17" s="1"/>
  <c r="P15" i="17"/>
  <c r="R15" i="17" s="1"/>
  <c r="T15" i="17" s="1"/>
  <c r="U15" i="17" s="1"/>
  <c r="P28" i="17"/>
  <c r="R28" i="17" s="1"/>
  <c r="T28" i="17" s="1"/>
  <c r="U28" i="17" s="1"/>
  <c r="P23" i="17"/>
  <c r="R23" i="17" s="1"/>
  <c r="T23" i="17" s="1"/>
  <c r="U23" i="17" s="1"/>
  <c r="P35" i="17"/>
  <c r="R35" i="17" s="1"/>
  <c r="T35" i="17" s="1"/>
  <c r="U35" i="17" s="1"/>
  <c r="P36" i="17"/>
  <c r="R36" i="17" s="1"/>
  <c r="T36" i="17" s="1"/>
  <c r="U36" i="17" s="1"/>
  <c r="P29" i="17"/>
  <c r="R29" i="17" s="1"/>
  <c r="P34" i="17"/>
  <c r="R34" i="17" s="1"/>
  <c r="P26" i="17"/>
  <c r="R26" i="17" s="1"/>
  <c r="P32" i="17"/>
  <c r="R32" i="17" s="1"/>
  <c r="P17" i="17"/>
  <c r="R17" i="17" s="1"/>
  <c r="T17" i="17" s="1"/>
  <c r="U17" i="17" s="1"/>
  <c r="P51" i="25"/>
  <c r="R51" i="25" s="1"/>
  <c r="P18" i="25"/>
  <c r="R18" i="25" s="1"/>
  <c r="P29" i="25"/>
  <c r="R29" i="25" s="1"/>
  <c r="T29" i="25" s="1"/>
  <c r="U29" i="25" s="1"/>
  <c r="N74" i="24"/>
  <c r="I17" i="17"/>
  <c r="K17" i="17" s="1"/>
  <c r="M17" i="17" s="1"/>
  <c r="N17" i="17" s="1"/>
  <c r="I37" i="17"/>
  <c r="K37" i="17" s="1"/>
  <c r="M37" i="17" s="1"/>
  <c r="N37" i="17" s="1"/>
  <c r="I24" i="17"/>
  <c r="K24" i="17" s="1"/>
  <c r="M24" i="17" s="1"/>
  <c r="N24" i="17" s="1"/>
  <c r="I36" i="17"/>
  <c r="K36" i="17" s="1"/>
  <c r="M36" i="17" s="1"/>
  <c r="N36" i="17" s="1"/>
  <c r="I29" i="17"/>
  <c r="K29" i="17" s="1"/>
  <c r="I16" i="17"/>
  <c r="K16" i="17" s="1"/>
  <c r="M16" i="17" s="1"/>
  <c r="N16" i="17" s="1"/>
  <c r="I14" i="17"/>
  <c r="K14" i="17" s="1"/>
  <c r="M14" i="17" s="1"/>
  <c r="N14" i="17" s="1"/>
  <c r="I35" i="17"/>
  <c r="K35" i="17" s="1"/>
  <c r="M35" i="17" s="1"/>
  <c r="N35" i="17" s="1"/>
  <c r="I28" i="17"/>
  <c r="K28" i="17" s="1"/>
  <c r="M28" i="17" s="1"/>
  <c r="N28" i="17" s="1"/>
  <c r="I15" i="17"/>
  <c r="K15" i="17" s="1"/>
  <c r="M15" i="17" s="1"/>
  <c r="N15" i="17" s="1"/>
  <c r="I20" i="17"/>
  <c r="K20" i="17" s="1"/>
  <c r="I26" i="17"/>
  <c r="K26" i="17" s="1"/>
  <c r="M26" i="17" s="1"/>
  <c r="N26" i="17" s="1"/>
  <c r="I33" i="17"/>
  <c r="K33" i="17" s="1"/>
  <c r="M33" i="17" s="1"/>
  <c r="N33" i="17" s="1"/>
  <c r="I34" i="17"/>
  <c r="K34" i="17" s="1"/>
  <c r="M34" i="17" s="1"/>
  <c r="N34" i="17" s="1"/>
  <c r="I19" i="17"/>
  <c r="K19" i="17" s="1"/>
  <c r="M19" i="17" s="1"/>
  <c r="N19" i="17" s="1"/>
  <c r="I32" i="17"/>
  <c r="K32" i="17" s="1"/>
  <c r="M32" i="17" s="1"/>
  <c r="N32" i="17" s="1"/>
  <c r="I23" i="17"/>
  <c r="K23" i="17" s="1"/>
  <c r="M23" i="17" s="1"/>
  <c r="N23" i="17" s="1"/>
  <c r="I25" i="17"/>
  <c r="K25" i="17" s="1"/>
  <c r="M25" i="17" s="1"/>
  <c r="N25" i="17" s="1"/>
  <c r="I27" i="17"/>
  <c r="K27" i="17" s="1"/>
  <c r="M27" i="17" s="1"/>
  <c r="N27" i="17" s="1"/>
  <c r="I18" i="17"/>
  <c r="K18" i="17" s="1"/>
  <c r="M18" i="17" s="1"/>
  <c r="N18" i="17" s="1"/>
  <c r="I38" i="17"/>
  <c r="K38" i="17" s="1"/>
  <c r="H15" i="20"/>
  <c r="J15" i="20" s="1"/>
  <c r="L15" i="20" s="1"/>
  <c r="M15" i="20" s="1"/>
  <c r="I53" i="33"/>
  <c r="M53" i="33" s="1"/>
  <c r="K53" i="33"/>
  <c r="P53" i="33" s="1"/>
  <c r="J53" i="33"/>
  <c r="P73" i="24"/>
  <c r="K56" i="32"/>
  <c r="I56" i="32"/>
  <c r="M56" i="32" s="1"/>
  <c r="J56" i="32"/>
  <c r="N56" i="32" s="1"/>
  <c r="O22" i="14"/>
  <c r="Q22" i="14" s="1"/>
  <c r="O15" i="14"/>
  <c r="Q15" i="14" s="1"/>
  <c r="S15" i="14" s="1"/>
  <c r="T15" i="14" s="1"/>
  <c r="O20" i="14"/>
  <c r="Q20" i="14" s="1"/>
  <c r="S20" i="14" s="1"/>
  <c r="T20" i="14" s="1"/>
  <c r="O18" i="14"/>
  <c r="Q18" i="14" s="1"/>
  <c r="S18" i="14" s="1"/>
  <c r="T18" i="14" s="1"/>
  <c r="O23" i="14"/>
  <c r="Q23" i="14" s="1"/>
  <c r="O17" i="14"/>
  <c r="Q17" i="14" s="1"/>
  <c r="S17" i="14" s="1"/>
  <c r="T17" i="14" s="1"/>
  <c r="O13" i="14"/>
  <c r="Q13" i="14" s="1"/>
  <c r="O14" i="14"/>
  <c r="Q14" i="14" s="1"/>
  <c r="O19" i="14"/>
  <c r="Q19" i="14" s="1"/>
  <c r="O16" i="14"/>
  <c r="Q16" i="14" s="1"/>
  <c r="O21" i="14"/>
  <c r="Q21" i="14" s="1"/>
  <c r="O21" i="1"/>
  <c r="P21" i="1" s="1"/>
  <c r="I60" i="34"/>
  <c r="M60" i="34" s="1"/>
  <c r="J60" i="34"/>
  <c r="N60" i="34" s="1"/>
  <c r="K60" i="34"/>
  <c r="P60" i="34" s="1"/>
  <c r="I36" i="22"/>
  <c r="K36" i="22" s="1"/>
  <c r="Z13" i="10"/>
  <c r="AA13" i="10" s="1"/>
  <c r="R26" i="11"/>
  <c r="T26" i="11" s="1"/>
  <c r="U26" i="11" s="1"/>
  <c r="R19" i="11"/>
  <c r="T19" i="11" s="1"/>
  <c r="U19" i="11" s="1"/>
  <c r="W29" i="23"/>
  <c r="W18" i="23"/>
  <c r="W33" i="23"/>
  <c r="W13" i="23"/>
  <c r="W28" i="23"/>
  <c r="W17" i="23"/>
  <c r="W19" i="23"/>
  <c r="W14" i="23"/>
  <c r="W20" i="23"/>
  <c r="W21" i="23"/>
  <c r="W15" i="23"/>
  <c r="W27" i="23"/>
  <c r="W31" i="23"/>
  <c r="W32" i="23"/>
  <c r="W25" i="23"/>
  <c r="W26" i="23"/>
  <c r="W16" i="23"/>
  <c r="W30" i="23"/>
  <c r="M56" i="31"/>
  <c r="I86" i="31"/>
  <c r="N53" i="28"/>
  <c r="N61" i="31"/>
  <c r="J57" i="35"/>
  <c r="N57" i="35" s="1"/>
  <c r="I57" i="35"/>
  <c r="M57" i="35" s="1"/>
  <c r="K57" i="35"/>
  <c r="N50" i="28"/>
  <c r="R18" i="1"/>
  <c r="Z25" i="6"/>
  <c r="AA25" i="6" s="1"/>
  <c r="H25" i="23"/>
  <c r="J25" i="23" s="1"/>
  <c r="L25" i="23" s="1"/>
  <c r="M25" i="23" s="1"/>
  <c r="H33" i="23"/>
  <c r="J33" i="23" s="1"/>
  <c r="H30" i="23"/>
  <c r="J30" i="23" s="1"/>
  <c r="L30" i="23" s="1"/>
  <c r="M30" i="23" s="1"/>
  <c r="H29" i="23"/>
  <c r="J29" i="23" s="1"/>
  <c r="L29" i="23" s="1"/>
  <c r="M29" i="23" s="1"/>
  <c r="H28" i="23"/>
  <c r="J28" i="23" s="1"/>
  <c r="L28" i="23" s="1"/>
  <c r="M28" i="23" s="1"/>
  <c r="H32" i="23"/>
  <c r="J32" i="23" s="1"/>
  <c r="L32" i="23" s="1"/>
  <c r="M32" i="23" s="1"/>
  <c r="H26" i="23"/>
  <c r="J26" i="23" s="1"/>
  <c r="L26" i="23" s="1"/>
  <c r="M26" i="23" s="1"/>
  <c r="H27" i="23"/>
  <c r="J27" i="23" s="1"/>
  <c r="L27" i="23" s="1"/>
  <c r="M27" i="23" s="1"/>
  <c r="H31" i="23"/>
  <c r="J31" i="23" s="1"/>
  <c r="L31" i="23" s="1"/>
  <c r="M31" i="23" s="1"/>
  <c r="J18" i="1"/>
  <c r="K18" i="1" s="1"/>
  <c r="L18" i="1" s="1"/>
  <c r="L25" i="6"/>
  <c r="M25" i="6" s="1"/>
  <c r="K56" i="35"/>
  <c r="P56" i="35" s="1"/>
  <c r="J56" i="35"/>
  <c r="I56" i="35"/>
  <c r="M56" i="35" s="1"/>
  <c r="O32" i="23"/>
  <c r="Q32" i="23" s="1"/>
  <c r="O27" i="23"/>
  <c r="Q27" i="23" s="1"/>
  <c r="S27" i="23" s="1"/>
  <c r="T27" i="23" s="1"/>
  <c r="O33" i="23"/>
  <c r="Q33" i="23" s="1"/>
  <c r="O28" i="23"/>
  <c r="Q28" i="23" s="1"/>
  <c r="S28" i="23" s="1"/>
  <c r="T28" i="23" s="1"/>
  <c r="O29" i="23"/>
  <c r="Q29" i="23" s="1"/>
  <c r="O25" i="23"/>
  <c r="Q25" i="23" s="1"/>
  <c r="S25" i="23" s="1"/>
  <c r="T25" i="23" s="1"/>
  <c r="O26" i="23"/>
  <c r="Q26" i="23" s="1"/>
  <c r="O30" i="23"/>
  <c r="Q30" i="23" s="1"/>
  <c r="O31" i="23"/>
  <c r="Q31" i="23" s="1"/>
  <c r="J61" i="35"/>
  <c r="N61" i="35" s="1"/>
  <c r="I61" i="35"/>
  <c r="M61" i="35" s="1"/>
  <c r="K61" i="35"/>
  <c r="P61" i="35" s="1"/>
  <c r="P60" i="31"/>
  <c r="I45" i="16"/>
  <c r="K45" i="16" s="1"/>
  <c r="M45" i="16" s="1"/>
  <c r="N45" i="16" s="1"/>
  <c r="I43" i="16"/>
  <c r="K43" i="16" s="1"/>
  <c r="M43" i="16" s="1"/>
  <c r="N43" i="16" s="1"/>
  <c r="I30" i="16"/>
  <c r="K30" i="16" s="1"/>
  <c r="M30" i="16" s="1"/>
  <c r="N30" i="16" s="1"/>
  <c r="I64" i="34"/>
  <c r="M64" i="34" s="1"/>
  <c r="J64" i="34"/>
  <c r="N64" i="34" s="1"/>
  <c r="K64" i="34"/>
  <c r="W15" i="22"/>
  <c r="Y15" i="22" s="1"/>
  <c r="AA15" i="22" s="1"/>
  <c r="AB15" i="22" s="1"/>
  <c r="W35" i="22"/>
  <c r="Y35" i="22" s="1"/>
  <c r="AA35" i="22" s="1"/>
  <c r="AB35" i="22" s="1"/>
  <c r="P50" i="27"/>
  <c r="K79" i="27"/>
  <c r="K50" i="35"/>
  <c r="J50" i="35"/>
  <c r="I50" i="35"/>
  <c r="M50" i="35" s="1"/>
  <c r="P58" i="33"/>
  <c r="N55" i="27"/>
  <c r="M36" i="18"/>
  <c r="N36" i="18" s="1"/>
  <c r="J85" i="1"/>
  <c r="K85" i="1" s="1"/>
  <c r="L85" i="1" s="1"/>
  <c r="P56" i="29"/>
  <c r="P62" i="31"/>
  <c r="P58" i="31"/>
  <c r="T23" i="18"/>
  <c r="U23" i="18" s="1"/>
  <c r="T27" i="18"/>
  <c r="U27" i="18" s="1"/>
  <c r="P66" i="28"/>
  <c r="P61" i="27"/>
  <c r="S18" i="9"/>
  <c r="T18" i="9" s="1"/>
  <c r="I16" i="22"/>
  <c r="K16" i="22" s="1"/>
  <c r="M16" i="22" s="1"/>
  <c r="N16" i="22" s="1"/>
  <c r="N64" i="28"/>
  <c r="N65" i="31"/>
  <c r="P70" i="27"/>
  <c r="J64" i="32"/>
  <c r="N64" i="32" s="1"/>
  <c r="I64" i="32"/>
  <c r="M64" i="32" s="1"/>
  <c r="K64" i="32"/>
  <c r="P64" i="32" s="1"/>
  <c r="P34" i="25"/>
  <c r="R34" i="25" s="1"/>
  <c r="P20" i="25"/>
  <c r="R20" i="25" s="1"/>
  <c r="P32" i="25"/>
  <c r="R32" i="25" s="1"/>
  <c r="N62" i="26"/>
  <c r="P74" i="24"/>
  <c r="V21" i="12"/>
  <c r="X21" i="12" s="1"/>
  <c r="Z21" i="12" s="1"/>
  <c r="AA21" i="12" s="1"/>
  <c r="V14" i="12"/>
  <c r="X14" i="12" s="1"/>
  <c r="V17" i="12"/>
  <c r="X17" i="12" s="1"/>
  <c r="Z17" i="12" s="1"/>
  <c r="AA17" i="12" s="1"/>
  <c r="V23" i="12"/>
  <c r="X23" i="12" s="1"/>
  <c r="V20" i="12"/>
  <c r="X20" i="12" s="1"/>
  <c r="V19" i="12"/>
  <c r="X19" i="12" s="1"/>
  <c r="V18" i="12"/>
  <c r="X18" i="12" s="1"/>
  <c r="V15" i="12"/>
  <c r="X15" i="12" s="1"/>
  <c r="V13" i="12"/>
  <c r="X13" i="12" s="1"/>
  <c r="Z13" i="12" s="1"/>
  <c r="AA13" i="12" s="1"/>
  <c r="V22" i="12"/>
  <c r="X22" i="12" s="1"/>
  <c r="Z22" i="12" s="1"/>
  <c r="AA22" i="12" s="1"/>
  <c r="V16" i="12"/>
  <c r="X16" i="12" s="1"/>
  <c r="Z16" i="12" s="1"/>
  <c r="AA16" i="12" s="1"/>
  <c r="I63" i="33"/>
  <c r="M63" i="33" s="1"/>
  <c r="J63" i="33"/>
  <c r="N63" i="33" s="1"/>
  <c r="K63" i="33"/>
  <c r="N73" i="31"/>
  <c r="J58" i="30"/>
  <c r="K58" i="30"/>
  <c r="I58" i="30"/>
  <c r="M58" i="30" s="1"/>
  <c r="I58" i="34"/>
  <c r="M58" i="34" s="1"/>
  <c r="K58" i="34"/>
  <c r="J58" i="34"/>
  <c r="N58" i="34" s="1"/>
  <c r="AA18" i="11"/>
  <c r="AB18" i="11" s="1"/>
  <c r="J54" i="35"/>
  <c r="N54" i="35" s="1"/>
  <c r="I54" i="35"/>
  <c r="M54" i="35" s="1"/>
  <c r="K54" i="35"/>
  <c r="Z22" i="5"/>
  <c r="AA22" i="5" s="1"/>
  <c r="I32" i="22"/>
  <c r="K32" i="22" s="1"/>
  <c r="M32" i="22" s="1"/>
  <c r="N32" i="22" s="1"/>
  <c r="R35" i="11"/>
  <c r="R32" i="11"/>
  <c r="T32" i="11" s="1"/>
  <c r="U32" i="11" s="1"/>
  <c r="I69" i="30"/>
  <c r="M69" i="30" s="1"/>
  <c r="K69" i="30"/>
  <c r="J69" i="30"/>
  <c r="N69" i="30" s="1"/>
  <c r="N59" i="31"/>
  <c r="T34" i="22"/>
  <c r="U34" i="22" s="1"/>
  <c r="V21" i="1"/>
  <c r="W21" i="1" s="1"/>
  <c r="S21" i="1"/>
  <c r="T21" i="1" s="1"/>
  <c r="I56" i="33"/>
  <c r="M56" i="33" s="1"/>
  <c r="K56" i="33"/>
  <c r="P56" i="33" s="1"/>
  <c r="J56" i="33"/>
  <c r="I66" i="34"/>
  <c r="M66" i="34" s="1"/>
  <c r="J66" i="34"/>
  <c r="N66" i="34" s="1"/>
  <c r="K66" i="34"/>
  <c r="I22" i="16"/>
  <c r="K22" i="16" s="1"/>
  <c r="M22" i="16" s="1"/>
  <c r="N22" i="16" s="1"/>
  <c r="I21" i="16"/>
  <c r="K21" i="16" s="1"/>
  <c r="M21" i="16" s="1"/>
  <c r="N21" i="16" s="1"/>
  <c r="I51" i="16"/>
  <c r="K51" i="16" s="1"/>
  <c r="M51" i="16" s="1"/>
  <c r="N51" i="16" s="1"/>
  <c r="O13" i="1"/>
  <c r="P13" i="1" s="1"/>
  <c r="AA16" i="22"/>
  <c r="AB16" i="22" s="1"/>
  <c r="AA23" i="22"/>
  <c r="AB23" i="22" s="1"/>
  <c r="M50" i="27"/>
  <c r="I79" i="27"/>
  <c r="K50" i="33"/>
  <c r="P50" i="33" s="1"/>
  <c r="J50" i="33"/>
  <c r="I50" i="33"/>
  <c r="M50" i="33" s="1"/>
  <c r="M46" i="28"/>
  <c r="I76" i="28"/>
  <c r="Z14" i="20"/>
  <c r="AA14" i="20" s="1"/>
  <c r="Z24" i="5"/>
  <c r="AA24" i="5" s="1"/>
  <c r="T15" i="18"/>
  <c r="U15" i="18" s="1"/>
  <c r="S16" i="1"/>
  <c r="T16" i="1" s="1"/>
  <c r="V16" i="1"/>
  <c r="W16" i="1" s="1"/>
  <c r="P56" i="26"/>
  <c r="P47" i="17"/>
  <c r="K78" i="17"/>
  <c r="J74" i="30"/>
  <c r="N74" i="30" s="1"/>
  <c r="I74" i="30"/>
  <c r="M74" i="30" s="1"/>
  <c r="K74" i="30"/>
  <c r="P74" i="30" s="1"/>
  <c r="P68" i="27"/>
  <c r="P48" i="25"/>
  <c r="R48" i="25" s="1"/>
  <c r="T48" i="25" s="1"/>
  <c r="U48" i="25" s="1"/>
  <c r="P19" i="25"/>
  <c r="R19" i="25" s="1"/>
  <c r="T19" i="25" s="1"/>
  <c r="U19" i="25" s="1"/>
  <c r="P35" i="25"/>
  <c r="R35" i="25" s="1"/>
  <c r="T35" i="25" s="1"/>
  <c r="U35" i="25" s="1"/>
  <c r="K65" i="32"/>
  <c r="J65" i="32"/>
  <c r="N65" i="32" s="1"/>
  <c r="I65" i="32"/>
  <c r="M65" i="32" s="1"/>
  <c r="H22" i="19"/>
  <c r="J22" i="19" s="1"/>
  <c r="L22" i="19" s="1"/>
  <c r="M22" i="19" s="1"/>
  <c r="H19" i="19"/>
  <c r="J19" i="19" s="1"/>
  <c r="L19" i="19" s="1"/>
  <c r="M19" i="19" s="1"/>
  <c r="H21" i="19"/>
  <c r="J21" i="19" s="1"/>
  <c r="L21" i="19" s="1"/>
  <c r="M21" i="19" s="1"/>
  <c r="H18" i="19"/>
  <c r="J18" i="19" s="1"/>
  <c r="L18" i="19" s="1"/>
  <c r="M18" i="19" s="1"/>
  <c r="H15" i="19"/>
  <c r="J15" i="19" s="1"/>
  <c r="L15" i="19" s="1"/>
  <c r="M15" i="19" s="1"/>
  <c r="H23" i="19"/>
  <c r="J23" i="19" s="1"/>
  <c r="H14" i="19"/>
  <c r="J14" i="19" s="1"/>
  <c r="L14" i="19" s="1"/>
  <c r="M14" i="19" s="1"/>
  <c r="H13" i="19"/>
  <c r="J13" i="19" s="1"/>
  <c r="L13" i="19" s="1"/>
  <c r="M13" i="19" s="1"/>
  <c r="H16" i="19"/>
  <c r="J16" i="19" s="1"/>
  <c r="L16" i="19" s="1"/>
  <c r="M16" i="19" s="1"/>
  <c r="H20" i="19"/>
  <c r="J20" i="19" s="1"/>
  <c r="L20" i="19" s="1"/>
  <c r="M20" i="19" s="1"/>
  <c r="H17" i="19"/>
  <c r="J17" i="19" s="1"/>
  <c r="L17" i="19" s="1"/>
  <c r="M17" i="19" s="1"/>
  <c r="N69" i="27"/>
  <c r="P69" i="26"/>
  <c r="I48" i="32"/>
  <c r="M48" i="32" s="1"/>
  <c r="K48" i="32"/>
  <c r="P48" i="32" s="1"/>
  <c r="J48" i="32"/>
  <c r="N48" i="32" s="1"/>
  <c r="J53" i="35"/>
  <c r="I53" i="35"/>
  <c r="M53" i="35" s="1"/>
  <c r="K53" i="35"/>
  <c r="P53" i="35" s="1"/>
  <c r="AA29" i="11"/>
  <c r="AB29" i="11" s="1"/>
  <c r="R27" i="1"/>
  <c r="N57" i="31"/>
  <c r="K59" i="34"/>
  <c r="P59" i="34" s="1"/>
  <c r="J59" i="34"/>
  <c r="N59" i="34" s="1"/>
  <c r="I59" i="34"/>
  <c r="M59" i="34" s="1"/>
  <c r="P54" i="28"/>
  <c r="Z17" i="10"/>
  <c r="AA17" i="10" s="1"/>
  <c r="P58" i="35"/>
  <c r="I20" i="22"/>
  <c r="K20" i="22" s="1"/>
  <c r="T20" i="22" s="1"/>
  <c r="U20" i="22" s="1"/>
  <c r="R24" i="1"/>
  <c r="Z20" i="10"/>
  <c r="AA20" i="10" s="1"/>
  <c r="R28" i="11"/>
  <c r="T28" i="11" s="1"/>
  <c r="U28" i="11" s="1"/>
  <c r="R20" i="11"/>
  <c r="O18" i="23"/>
  <c r="Q18" i="23" s="1"/>
  <c r="S18" i="23" s="1"/>
  <c r="T18" i="23" s="1"/>
  <c r="O13" i="23"/>
  <c r="Q13" i="23" s="1"/>
  <c r="S13" i="23" s="1"/>
  <c r="T13" i="23" s="1"/>
  <c r="O19" i="23"/>
  <c r="Q19" i="23" s="1"/>
  <c r="S19" i="23" s="1"/>
  <c r="T19" i="23" s="1"/>
  <c r="O16" i="23"/>
  <c r="Q16" i="23" s="1"/>
  <c r="S16" i="23" s="1"/>
  <c r="T16" i="23" s="1"/>
  <c r="O17" i="23"/>
  <c r="Q17" i="23" s="1"/>
  <c r="S17" i="23" s="1"/>
  <c r="T17" i="23" s="1"/>
  <c r="O21" i="23"/>
  <c r="Q21" i="23" s="1"/>
  <c r="O15" i="23"/>
  <c r="Q15" i="23" s="1"/>
  <c r="S15" i="23" s="1"/>
  <c r="T15" i="23" s="1"/>
  <c r="O14" i="23"/>
  <c r="Q14" i="23" s="1"/>
  <c r="S14" i="23" s="1"/>
  <c r="T14" i="23" s="1"/>
  <c r="O20" i="23"/>
  <c r="Q20" i="23" s="1"/>
  <c r="S20" i="23" s="1"/>
  <c r="T20" i="23" s="1"/>
  <c r="K61" i="34"/>
  <c r="J61" i="34"/>
  <c r="N61" i="34" s="1"/>
  <c r="I61" i="34"/>
  <c r="M61" i="34" s="1"/>
  <c r="P41" i="23"/>
  <c r="L81" i="23"/>
  <c r="O18" i="20"/>
  <c r="Q18" i="20" s="1"/>
  <c r="Z18" i="20" s="1"/>
  <c r="AA18" i="20" s="1"/>
  <c r="O15" i="20"/>
  <c r="Q15" i="20" s="1"/>
  <c r="O17" i="20"/>
  <c r="Q17" i="20" s="1"/>
  <c r="S17" i="20" s="1"/>
  <c r="T17" i="20" s="1"/>
  <c r="O13" i="20"/>
  <c r="Q13" i="20" s="1"/>
  <c r="O14" i="20"/>
  <c r="Q14" i="20" s="1"/>
  <c r="S14" i="20" s="1"/>
  <c r="T14" i="20" s="1"/>
  <c r="O16" i="20"/>
  <c r="Q16" i="20" s="1"/>
  <c r="S16" i="20" s="1"/>
  <c r="T16" i="20" s="1"/>
  <c r="AA28" i="22"/>
  <c r="AB28" i="22" s="1"/>
  <c r="R94" i="1"/>
  <c r="S16" i="10"/>
  <c r="T16" i="10" s="1"/>
  <c r="L16" i="23"/>
  <c r="M16" i="23" s="1"/>
  <c r="G42" i="28"/>
  <c r="G52" i="31"/>
  <c r="G46" i="27"/>
  <c r="G39" i="29"/>
  <c r="G46" i="26"/>
  <c r="K62" i="35"/>
  <c r="J62" i="35"/>
  <c r="I62" i="35"/>
  <c r="M62" i="35" s="1"/>
  <c r="P24" i="25"/>
  <c r="R24" i="25" s="1"/>
  <c r="P44" i="25"/>
  <c r="R44" i="25" s="1"/>
  <c r="P38" i="25"/>
  <c r="R38" i="25" s="1"/>
  <c r="K75" i="30"/>
  <c r="P75" i="30" s="1"/>
  <c r="I75" i="30"/>
  <c r="M75" i="30" s="1"/>
  <c r="J75" i="30"/>
  <c r="K46" i="33"/>
  <c r="P46" i="33" s="1"/>
  <c r="J46" i="33"/>
  <c r="I46" i="33"/>
  <c r="M46" i="33" s="1"/>
  <c r="O19" i="1"/>
  <c r="P19" i="1" s="1"/>
  <c r="AA17" i="11"/>
  <c r="AB17" i="11" s="1"/>
  <c r="Z12" i="10"/>
  <c r="AA12" i="10" s="1"/>
  <c r="N54" i="29"/>
  <c r="I24" i="22"/>
  <c r="K24" i="22" s="1"/>
  <c r="M24" i="22" s="1"/>
  <c r="N24" i="22" s="1"/>
  <c r="R16" i="11"/>
  <c r="T16" i="11" s="1"/>
  <c r="U16" i="11" s="1"/>
  <c r="R15" i="11"/>
  <c r="T15" i="11" s="1"/>
  <c r="U15" i="11" s="1"/>
  <c r="K55" i="34"/>
  <c r="P55" i="34" s="1"/>
  <c r="J55" i="34"/>
  <c r="N55" i="34" s="1"/>
  <c r="I55" i="34"/>
  <c r="M55" i="34" s="1"/>
  <c r="Z23" i="9"/>
  <c r="AA23" i="9" s="1"/>
  <c r="R89" i="1"/>
  <c r="T36" i="18"/>
  <c r="U36" i="18" s="1"/>
  <c r="N85" i="1"/>
  <c r="P65" i="27"/>
  <c r="P72" i="24"/>
  <c r="N46" i="29"/>
  <c r="N47" i="28"/>
  <c r="J64" i="30"/>
  <c r="N64" i="30" s="1"/>
  <c r="K64" i="30"/>
  <c r="I64" i="30"/>
  <c r="M64" i="30" s="1"/>
  <c r="N56" i="28"/>
  <c r="N67" i="24"/>
  <c r="N70" i="30"/>
  <c r="I25" i="16"/>
  <c r="K25" i="16" s="1"/>
  <c r="M25" i="16" s="1"/>
  <c r="N25" i="16" s="1"/>
  <c r="I23" i="16"/>
  <c r="K23" i="16" s="1"/>
  <c r="M23" i="16" s="1"/>
  <c r="N23" i="16" s="1"/>
  <c r="W27" i="22"/>
  <c r="Y27" i="22" s="1"/>
  <c r="AA27" i="22" s="1"/>
  <c r="AB27" i="22" s="1"/>
  <c r="W32" i="22"/>
  <c r="Y32" i="22" s="1"/>
  <c r="AA32" i="22" s="1"/>
  <c r="AB32" i="22" s="1"/>
  <c r="J49" i="35"/>
  <c r="N49" i="35" s="1"/>
  <c r="I49" i="35"/>
  <c r="M49" i="35" s="1"/>
  <c r="K49" i="35"/>
  <c r="E16" i="28"/>
  <c r="G16" i="28" s="1"/>
  <c r="E14" i="28"/>
  <c r="G14" i="28" s="1"/>
  <c r="E34" i="28"/>
  <c r="G34" i="28" s="1"/>
  <c r="E37" i="28"/>
  <c r="G37" i="28" s="1"/>
  <c r="E26" i="28"/>
  <c r="G26" i="28" s="1"/>
  <c r="E32" i="28"/>
  <c r="G32" i="28" s="1"/>
  <c r="E28" i="28"/>
  <c r="G28" i="28" s="1"/>
  <c r="E35" i="28"/>
  <c r="G35" i="28" s="1"/>
  <c r="E15" i="28"/>
  <c r="G15" i="28" s="1"/>
  <c r="E19" i="28"/>
  <c r="G19" i="28" s="1"/>
  <c r="E38" i="28"/>
  <c r="G38" i="28" s="1"/>
  <c r="H61" i="1" s="1"/>
  <c r="E36" i="28"/>
  <c r="G36" i="28" s="1"/>
  <c r="E33" i="28"/>
  <c r="G33" i="28" s="1"/>
  <c r="E27" i="28"/>
  <c r="G27" i="28" s="1"/>
  <c r="E17" i="28"/>
  <c r="G17" i="28" s="1"/>
  <c r="E20" i="28"/>
  <c r="G20" i="28" s="1"/>
  <c r="H59" i="1" s="1"/>
  <c r="E23" i="28"/>
  <c r="G23" i="28" s="1"/>
  <c r="E18" i="28"/>
  <c r="G18" i="28" s="1"/>
  <c r="E29" i="28"/>
  <c r="G29" i="28" s="1"/>
  <c r="H60" i="1" s="1"/>
  <c r="E24" i="28"/>
  <c r="G24" i="28" s="1"/>
  <c r="E25" i="28"/>
  <c r="G25" i="28" s="1"/>
  <c r="N52" i="28"/>
  <c r="I51" i="33"/>
  <c r="M51" i="33" s="1"/>
  <c r="J51" i="33"/>
  <c r="N51" i="33" s="1"/>
  <c r="K51" i="33"/>
  <c r="P53" i="26"/>
  <c r="P82" i="24"/>
  <c r="N57" i="28"/>
  <c r="T26" i="18"/>
  <c r="U26" i="18" s="1"/>
  <c r="T25" i="18"/>
  <c r="U25" i="18" s="1"/>
  <c r="P60" i="26"/>
  <c r="L17" i="23"/>
  <c r="M17" i="23" s="1"/>
  <c r="P53" i="29"/>
  <c r="J62" i="33"/>
  <c r="N62" i="33" s="1"/>
  <c r="K62" i="33"/>
  <c r="P62" i="33" s="1"/>
  <c r="I62" i="33"/>
  <c r="M62" i="33" s="1"/>
  <c r="P50" i="29"/>
  <c r="P22" i="25"/>
  <c r="R22" i="25" s="1"/>
  <c r="P28" i="25"/>
  <c r="R28" i="25" s="1"/>
  <c r="I27" i="22"/>
  <c r="K27" i="22" s="1"/>
  <c r="M27" i="22" s="1"/>
  <c r="N27" i="22" s="1"/>
  <c r="I68" i="34"/>
  <c r="M68" i="34" s="1"/>
  <c r="K68" i="34"/>
  <c r="J68" i="34"/>
  <c r="N68" i="34" s="1"/>
  <c r="V15" i="1"/>
  <c r="W15" i="1" s="1"/>
  <c r="S15" i="1"/>
  <c r="T15" i="1" s="1"/>
  <c r="I19" i="22"/>
  <c r="K19" i="22" s="1"/>
  <c r="M19" i="22" s="1"/>
  <c r="N19" i="22" s="1"/>
  <c r="N56" i="27"/>
  <c r="E23" i="24"/>
  <c r="G23" i="24" s="1"/>
  <c r="E28" i="24"/>
  <c r="G28" i="24" s="1"/>
  <c r="E43" i="24"/>
  <c r="G43" i="24" s="1"/>
  <c r="E30" i="24"/>
  <c r="G30" i="24" s="1"/>
  <c r="E46" i="24"/>
  <c r="G46" i="24" s="1"/>
  <c r="E33" i="24"/>
  <c r="G33" i="24" s="1"/>
  <c r="E34" i="24"/>
  <c r="G34" i="24" s="1"/>
  <c r="E35" i="24"/>
  <c r="G35" i="24" s="1"/>
  <c r="E48" i="24"/>
  <c r="G48" i="24" s="1"/>
  <c r="E19" i="24"/>
  <c r="G19" i="24" s="1"/>
  <c r="E25" i="24"/>
  <c r="G25" i="24" s="1"/>
  <c r="H43" i="1" s="1"/>
  <c r="E32" i="24"/>
  <c r="G32" i="24" s="1"/>
  <c r="E31" i="24"/>
  <c r="G31" i="24" s="1"/>
  <c r="E18" i="24"/>
  <c r="G18" i="24" s="1"/>
  <c r="E15" i="24"/>
  <c r="G15" i="24" s="1"/>
  <c r="E37" i="24"/>
  <c r="G37" i="24" s="1"/>
  <c r="E50" i="24"/>
  <c r="G50" i="24" s="1"/>
  <c r="E45" i="24"/>
  <c r="G45" i="24" s="1"/>
  <c r="E17" i="24"/>
  <c r="G17" i="24" s="1"/>
  <c r="E42" i="24"/>
  <c r="G42" i="24" s="1"/>
  <c r="E47" i="24"/>
  <c r="G47" i="24" s="1"/>
  <c r="E38" i="24"/>
  <c r="G38" i="24" s="1"/>
  <c r="H44" i="1" s="1"/>
  <c r="E44" i="24"/>
  <c r="G44" i="24" s="1"/>
  <c r="E49" i="24"/>
  <c r="G49" i="24" s="1"/>
  <c r="E29" i="24"/>
  <c r="G29" i="24" s="1"/>
  <c r="E51" i="24"/>
  <c r="G51" i="24" s="1"/>
  <c r="H45" i="1" s="1"/>
  <c r="E24" i="24"/>
  <c r="G24" i="24" s="1"/>
  <c r="E21" i="24"/>
  <c r="G21" i="24" s="1"/>
  <c r="E20" i="24"/>
  <c r="G20" i="24" s="1"/>
  <c r="E41" i="24"/>
  <c r="G41" i="24" s="1"/>
  <c r="E16" i="24"/>
  <c r="G16" i="24" s="1"/>
  <c r="E36" i="24"/>
  <c r="G36" i="24" s="1"/>
  <c r="E22" i="24"/>
  <c r="G22" i="24" s="1"/>
  <c r="H16" i="13"/>
  <c r="J16" i="13" s="1"/>
  <c r="L16" i="13" s="1"/>
  <c r="M16" i="13" s="1"/>
  <c r="H21" i="13"/>
  <c r="J21" i="13" s="1"/>
  <c r="L21" i="13" s="1"/>
  <c r="M21" i="13" s="1"/>
  <c r="H14" i="13"/>
  <c r="J14" i="13" s="1"/>
  <c r="L14" i="13" s="1"/>
  <c r="M14" i="13" s="1"/>
  <c r="H19" i="13"/>
  <c r="J19" i="13" s="1"/>
  <c r="L19" i="13" s="1"/>
  <c r="M19" i="13" s="1"/>
  <c r="H13" i="13"/>
  <c r="J13" i="13" s="1"/>
  <c r="L13" i="13" s="1"/>
  <c r="M13" i="13" s="1"/>
  <c r="H18" i="13"/>
  <c r="J18" i="13" s="1"/>
  <c r="L18" i="13" s="1"/>
  <c r="M18" i="13" s="1"/>
  <c r="H23" i="13"/>
  <c r="J23" i="13" s="1"/>
  <c r="H17" i="13"/>
  <c r="J17" i="13" s="1"/>
  <c r="L17" i="13" s="1"/>
  <c r="M17" i="13" s="1"/>
  <c r="H15" i="13"/>
  <c r="J15" i="13" s="1"/>
  <c r="L15" i="13" s="1"/>
  <c r="M15" i="13" s="1"/>
  <c r="H20" i="13"/>
  <c r="J20" i="13" s="1"/>
  <c r="L20" i="13" s="1"/>
  <c r="M20" i="13" s="1"/>
  <c r="H22" i="13"/>
  <c r="J22" i="13" s="1"/>
  <c r="L22" i="13" s="1"/>
  <c r="M22" i="13" s="1"/>
  <c r="K51" i="34"/>
  <c r="J51" i="34"/>
  <c r="N51" i="34" s="1"/>
  <c r="I51" i="34"/>
  <c r="M51" i="34" s="1"/>
  <c r="AA32" i="11"/>
  <c r="AB32" i="11" s="1"/>
  <c r="I28" i="22"/>
  <c r="K28" i="22" s="1"/>
  <c r="T28" i="22" s="1"/>
  <c r="U28" i="22" s="1"/>
  <c r="I26" i="22"/>
  <c r="K26" i="22" s="1"/>
  <c r="M26" i="22" s="1"/>
  <c r="N26" i="22" s="1"/>
  <c r="P58" i="28"/>
  <c r="I31" i="22"/>
  <c r="K31" i="22" s="1"/>
  <c r="M31" i="22" s="1"/>
  <c r="N31" i="22" s="1"/>
  <c r="I34" i="22"/>
  <c r="K34" i="22" s="1"/>
  <c r="M34" i="22" s="1"/>
  <c r="N34" i="22" s="1"/>
  <c r="N48" i="29"/>
  <c r="R14" i="11"/>
  <c r="T14" i="11" s="1"/>
  <c r="U14" i="11" s="1"/>
  <c r="R33" i="11"/>
  <c r="T24" i="18"/>
  <c r="U24" i="18" s="1"/>
  <c r="J76" i="30"/>
  <c r="N76" i="30" s="1"/>
  <c r="I76" i="30"/>
  <c r="M76" i="30" s="1"/>
  <c r="K76" i="30"/>
  <c r="K59" i="32"/>
  <c r="P59" i="32" s="1"/>
  <c r="J59" i="32"/>
  <c r="N59" i="32" s="1"/>
  <c r="I59" i="32"/>
  <c r="M59" i="32" s="1"/>
  <c r="T23" i="22"/>
  <c r="U23" i="22" s="1"/>
  <c r="I66" i="32"/>
  <c r="M66" i="32" s="1"/>
  <c r="J66" i="32"/>
  <c r="N66" i="32" s="1"/>
  <c r="K66" i="32"/>
  <c r="P66" i="32" s="1"/>
  <c r="N62" i="29"/>
  <c r="I60" i="30"/>
  <c r="M60" i="30" s="1"/>
  <c r="J60" i="30"/>
  <c r="K60" i="30"/>
  <c r="P60" i="30" s="1"/>
  <c r="N95" i="1"/>
  <c r="N94" i="1"/>
  <c r="I54" i="32"/>
  <c r="M54" i="32" s="1"/>
  <c r="K54" i="32"/>
  <c r="J54" i="32"/>
  <c r="N54" i="32" s="1"/>
  <c r="P51" i="28"/>
  <c r="N78" i="24"/>
  <c r="P67" i="24"/>
  <c r="I32" i="16"/>
  <c r="K32" i="16" s="1"/>
  <c r="M32" i="16" s="1"/>
  <c r="N32" i="16" s="1"/>
  <c r="I20" i="16"/>
  <c r="K20" i="16" s="1"/>
  <c r="M20" i="16" s="1"/>
  <c r="N20" i="16" s="1"/>
  <c r="P53" i="27"/>
  <c r="W36" i="22"/>
  <c r="Y36" i="22" s="1"/>
  <c r="N68" i="31"/>
  <c r="N58" i="26"/>
  <c r="K61" i="30"/>
  <c r="J61" i="30"/>
  <c r="I61" i="30"/>
  <c r="M61" i="30" s="1"/>
  <c r="P46" i="28"/>
  <c r="K76" i="28"/>
  <c r="I53" i="32"/>
  <c r="M53" i="32" s="1"/>
  <c r="J53" i="32"/>
  <c r="K53" i="32"/>
  <c r="P53" i="32" s="1"/>
  <c r="V19" i="1"/>
  <c r="W19" i="1" s="1"/>
  <c r="S19" i="1"/>
  <c r="T19" i="1" s="1"/>
  <c r="Z17" i="9"/>
  <c r="AA17" i="9" s="1"/>
  <c r="O44" i="23"/>
  <c r="L44" i="23"/>
  <c r="P44" i="23" s="1"/>
  <c r="N82" i="24"/>
  <c r="T28" i="18"/>
  <c r="U28" i="18" s="1"/>
  <c r="N84" i="1"/>
  <c r="O84" i="1" s="1"/>
  <c r="P84" i="1" s="1"/>
  <c r="T16" i="18"/>
  <c r="U16" i="18" s="1"/>
  <c r="S12" i="10"/>
  <c r="T12" i="10" s="1"/>
  <c r="L21" i="23"/>
  <c r="M21" i="23" s="1"/>
  <c r="J97" i="1"/>
  <c r="K97" i="1" s="1"/>
  <c r="L97" i="1" s="1"/>
  <c r="P80" i="24"/>
  <c r="H19" i="12"/>
  <c r="J19" i="12" s="1"/>
  <c r="L19" i="12" s="1"/>
  <c r="M19" i="12" s="1"/>
  <c r="H22" i="12"/>
  <c r="J22" i="12" s="1"/>
  <c r="L22" i="12" s="1"/>
  <c r="M22" i="12" s="1"/>
  <c r="H15" i="12"/>
  <c r="J15" i="12" s="1"/>
  <c r="L15" i="12" s="1"/>
  <c r="M15" i="12" s="1"/>
  <c r="H13" i="12"/>
  <c r="J13" i="12" s="1"/>
  <c r="L13" i="12" s="1"/>
  <c r="M13" i="12" s="1"/>
  <c r="H14" i="12"/>
  <c r="J14" i="12" s="1"/>
  <c r="L14" i="12" s="1"/>
  <c r="M14" i="12" s="1"/>
  <c r="H16" i="12"/>
  <c r="J16" i="12" s="1"/>
  <c r="L16" i="12" s="1"/>
  <c r="M16" i="12" s="1"/>
  <c r="H20" i="12"/>
  <c r="J20" i="12" s="1"/>
  <c r="L20" i="12" s="1"/>
  <c r="M20" i="12" s="1"/>
  <c r="H17" i="12"/>
  <c r="J17" i="12" s="1"/>
  <c r="L17" i="12" s="1"/>
  <c r="M17" i="12" s="1"/>
  <c r="H21" i="12"/>
  <c r="J21" i="12" s="1"/>
  <c r="L21" i="12" s="1"/>
  <c r="M21" i="12" s="1"/>
  <c r="H18" i="12"/>
  <c r="J18" i="12" s="1"/>
  <c r="L18" i="12" s="1"/>
  <c r="M18" i="12" s="1"/>
  <c r="H23" i="12"/>
  <c r="J23" i="12" s="1"/>
  <c r="N57" i="29"/>
  <c r="K67" i="34"/>
  <c r="P67" i="34" s="1"/>
  <c r="J67" i="34"/>
  <c r="I67" i="34"/>
  <c r="M67" i="34" s="1"/>
  <c r="I35" i="22"/>
  <c r="K35" i="22" s="1"/>
  <c r="M35" i="22" s="1"/>
  <c r="N35" i="22" s="1"/>
  <c r="P23" i="25"/>
  <c r="R23" i="25" s="1"/>
  <c r="P33" i="25"/>
  <c r="R33" i="25" s="1"/>
  <c r="T33" i="25" s="1"/>
  <c r="U33" i="25" s="1"/>
  <c r="N67" i="27"/>
  <c r="N69" i="24"/>
  <c r="J63" i="35"/>
  <c r="N63" i="35" s="1"/>
  <c r="I63" i="35"/>
  <c r="M63" i="35" s="1"/>
  <c r="K63" i="35"/>
  <c r="P56" i="27"/>
  <c r="M62" i="24"/>
  <c r="I95" i="24"/>
  <c r="K46" i="35"/>
  <c r="P46" i="35" s="1"/>
  <c r="J46" i="35"/>
  <c r="I46" i="35"/>
  <c r="M46" i="35" s="1"/>
  <c r="AA20" i="11"/>
  <c r="AB20" i="11" s="1"/>
  <c r="R26" i="1"/>
  <c r="Z24" i="3"/>
  <c r="AA24" i="3" s="1"/>
  <c r="I25" i="22"/>
  <c r="K25" i="22" s="1"/>
  <c r="M25" i="22" s="1"/>
  <c r="N25" i="22" s="1"/>
  <c r="V15" i="15"/>
  <c r="X15" i="15" s="1"/>
  <c r="V17" i="15"/>
  <c r="X17" i="15" s="1"/>
  <c r="Z17" i="15" s="1"/>
  <c r="AA17" i="15" s="1"/>
  <c r="V19" i="15"/>
  <c r="X19" i="15" s="1"/>
  <c r="V13" i="15"/>
  <c r="X13" i="15" s="1"/>
  <c r="Z13" i="15" s="1"/>
  <c r="AA13" i="15" s="1"/>
  <c r="V12" i="15"/>
  <c r="X12" i="15" s="1"/>
  <c r="V18" i="15"/>
  <c r="X18" i="15" s="1"/>
  <c r="V16" i="15"/>
  <c r="X16" i="15" s="1"/>
  <c r="V20" i="15"/>
  <c r="X20" i="15" s="1"/>
  <c r="V21" i="15"/>
  <c r="X21" i="15" s="1"/>
  <c r="Z21" i="15" s="1"/>
  <c r="AA21" i="15" s="1"/>
  <c r="V14" i="15"/>
  <c r="X14" i="15" s="1"/>
  <c r="Z14" i="15" s="1"/>
  <c r="AA14" i="15" s="1"/>
  <c r="V22" i="15"/>
  <c r="X22" i="15" s="1"/>
  <c r="O18" i="15"/>
  <c r="Q18" i="15" s="1"/>
  <c r="S18" i="15" s="1"/>
  <c r="T18" i="15" s="1"/>
  <c r="O14" i="15"/>
  <c r="Q14" i="15" s="1"/>
  <c r="O20" i="15"/>
  <c r="Q20" i="15" s="1"/>
  <c r="S20" i="15" s="1"/>
  <c r="T20" i="15" s="1"/>
  <c r="O22" i="15"/>
  <c r="Q22" i="15" s="1"/>
  <c r="O12" i="15"/>
  <c r="Q12" i="15" s="1"/>
  <c r="O13" i="15"/>
  <c r="Q13" i="15" s="1"/>
  <c r="S13" i="15" s="1"/>
  <c r="T13" i="15" s="1"/>
  <c r="O19" i="15"/>
  <c r="Q19" i="15" s="1"/>
  <c r="S19" i="15" s="1"/>
  <c r="T19" i="15" s="1"/>
  <c r="O16" i="15"/>
  <c r="Q16" i="15" s="1"/>
  <c r="S16" i="15" s="1"/>
  <c r="T16" i="15" s="1"/>
  <c r="O17" i="15"/>
  <c r="Q17" i="15" s="1"/>
  <c r="O21" i="15"/>
  <c r="Q21" i="15" s="1"/>
  <c r="S21" i="15" s="1"/>
  <c r="T21" i="15" s="1"/>
  <c r="O15" i="15"/>
  <c r="Q15" i="15" s="1"/>
  <c r="S15" i="15" s="1"/>
  <c r="T15" i="15" s="1"/>
  <c r="AA14" i="11"/>
  <c r="AB14" i="11" s="1"/>
  <c r="I33" i="22"/>
  <c r="K33" i="22" s="1"/>
  <c r="M33" i="22" s="1"/>
  <c r="N33" i="22" s="1"/>
  <c r="R29" i="11"/>
  <c r="R36" i="11"/>
  <c r="T36" i="11" s="1"/>
  <c r="U36" i="11" s="1"/>
  <c r="J57" i="33"/>
  <c r="N57" i="33" s="1"/>
  <c r="K57" i="33"/>
  <c r="I57" i="33"/>
  <c r="M57" i="33" s="1"/>
  <c r="T27" i="22"/>
  <c r="U27" i="22" s="1"/>
  <c r="K63" i="32"/>
  <c r="J63" i="32"/>
  <c r="I63" i="32"/>
  <c r="M63" i="32" s="1"/>
  <c r="N46" i="28"/>
  <c r="J76" i="28"/>
  <c r="K63" i="30"/>
  <c r="P63" i="30" s="1"/>
  <c r="J63" i="30"/>
  <c r="I63" i="30"/>
  <c r="M63" i="30" s="1"/>
  <c r="Z15" i="3"/>
  <c r="AA15" i="3" s="1"/>
  <c r="I15" i="11"/>
  <c r="K15" i="11" s="1"/>
  <c r="M15" i="11" s="1"/>
  <c r="N15" i="11" s="1"/>
  <c r="I14" i="11"/>
  <c r="K14" i="11" s="1"/>
  <c r="M14" i="11" s="1"/>
  <c r="N14" i="11" s="1"/>
  <c r="I16" i="11"/>
  <c r="K16" i="11" s="1"/>
  <c r="M16" i="11" s="1"/>
  <c r="N16" i="11" s="1"/>
  <c r="I25" i="11"/>
  <c r="K25" i="11" s="1"/>
  <c r="M25" i="11" s="1"/>
  <c r="N25" i="11" s="1"/>
  <c r="I34" i="11"/>
  <c r="K34" i="11" s="1"/>
  <c r="M34" i="11" s="1"/>
  <c r="N34" i="11" s="1"/>
  <c r="I37" i="11"/>
  <c r="K37" i="11" s="1"/>
  <c r="M37" i="11" s="1"/>
  <c r="N37" i="11" s="1"/>
  <c r="I28" i="11"/>
  <c r="K28" i="11" s="1"/>
  <c r="M28" i="11" s="1"/>
  <c r="N28" i="11" s="1"/>
  <c r="I27" i="11"/>
  <c r="K27" i="11" s="1"/>
  <c r="M27" i="11" s="1"/>
  <c r="N27" i="11" s="1"/>
  <c r="I33" i="11"/>
  <c r="K33" i="11" s="1"/>
  <c r="M33" i="11" s="1"/>
  <c r="N33" i="11" s="1"/>
  <c r="I38" i="11"/>
  <c r="K38" i="11" s="1"/>
  <c r="I35" i="11"/>
  <c r="K35" i="11" s="1"/>
  <c r="M35" i="11" s="1"/>
  <c r="N35" i="11" s="1"/>
  <c r="I29" i="11"/>
  <c r="K29" i="11" s="1"/>
  <c r="I24" i="11"/>
  <c r="K24" i="11" s="1"/>
  <c r="M24" i="11" s="1"/>
  <c r="N24" i="11" s="1"/>
  <c r="I32" i="11"/>
  <c r="K32" i="11" s="1"/>
  <c r="M32" i="11" s="1"/>
  <c r="N32" i="11" s="1"/>
  <c r="I26" i="11"/>
  <c r="K26" i="11" s="1"/>
  <c r="M26" i="11" s="1"/>
  <c r="N26" i="11" s="1"/>
  <c r="I19" i="11"/>
  <c r="K19" i="11" s="1"/>
  <c r="M19" i="11" s="1"/>
  <c r="N19" i="11" s="1"/>
  <c r="I23" i="11"/>
  <c r="K23" i="11" s="1"/>
  <c r="M23" i="11" s="1"/>
  <c r="N23" i="11" s="1"/>
  <c r="I36" i="11"/>
  <c r="K36" i="11" s="1"/>
  <c r="M36" i="11" s="1"/>
  <c r="N36" i="11" s="1"/>
  <c r="I20" i="11"/>
  <c r="K20" i="11" s="1"/>
  <c r="I18" i="11"/>
  <c r="K18" i="11" s="1"/>
  <c r="M18" i="11" s="1"/>
  <c r="N18" i="11" s="1"/>
  <c r="I17" i="11"/>
  <c r="K17" i="11" s="1"/>
  <c r="M17" i="11" s="1"/>
  <c r="N17" i="11" s="1"/>
  <c r="K62" i="32"/>
  <c r="J62" i="32"/>
  <c r="N62" i="32" s="1"/>
  <c r="I62" i="32"/>
  <c r="M62" i="32" s="1"/>
  <c r="K64" i="33"/>
  <c r="I64" i="33"/>
  <c r="M64" i="33" s="1"/>
  <c r="J64" i="33"/>
  <c r="N64" i="33" s="1"/>
  <c r="K50" i="32"/>
  <c r="I50" i="32"/>
  <c r="M50" i="32" s="1"/>
  <c r="J50" i="32"/>
  <c r="N50" i="32" s="1"/>
  <c r="T26" i="22"/>
  <c r="U26" i="22" s="1"/>
  <c r="T17" i="22"/>
  <c r="U17" i="22" s="1"/>
  <c r="P43" i="23"/>
  <c r="L80" i="23"/>
  <c r="L79" i="23"/>
  <c r="J52" i="33"/>
  <c r="N52" i="33" s="1"/>
  <c r="I52" i="33"/>
  <c r="M52" i="33" s="1"/>
  <c r="K52" i="33"/>
  <c r="N51" i="29"/>
  <c r="P70" i="24"/>
  <c r="S14" i="6"/>
  <c r="T14" i="6" s="1"/>
  <c r="P75" i="24"/>
  <c r="I26" i="16"/>
  <c r="K26" i="16" s="1"/>
  <c r="I35" i="16"/>
  <c r="K35" i="16" s="1"/>
  <c r="M35" i="16" s="1"/>
  <c r="N35" i="16" s="1"/>
  <c r="I16" i="16"/>
  <c r="K16" i="16" s="1"/>
  <c r="M16" i="16" s="1"/>
  <c r="N16" i="16" s="1"/>
  <c r="P62" i="28"/>
  <c r="W18" i="22"/>
  <c r="Y18" i="22" s="1"/>
  <c r="AA18" i="22" s="1"/>
  <c r="AB18" i="22" s="1"/>
  <c r="I54" i="34"/>
  <c r="M54" i="34" s="1"/>
  <c r="K54" i="34"/>
  <c r="P54" i="34" s="1"/>
  <c r="J54" i="34"/>
  <c r="I47" i="25"/>
  <c r="K47" i="25" s="1"/>
  <c r="M47" i="25" s="1"/>
  <c r="N47" i="25" s="1"/>
  <c r="I41" i="25"/>
  <c r="K41" i="25" s="1"/>
  <c r="M41" i="25" s="1"/>
  <c r="N41" i="25" s="1"/>
  <c r="I35" i="25"/>
  <c r="K35" i="25" s="1"/>
  <c r="M35" i="25" s="1"/>
  <c r="N35" i="25" s="1"/>
  <c r="I25" i="25"/>
  <c r="K25" i="25" s="1"/>
  <c r="I34" i="25"/>
  <c r="K34" i="25" s="1"/>
  <c r="M34" i="25" s="1"/>
  <c r="N34" i="25" s="1"/>
  <c r="I23" i="25"/>
  <c r="K23" i="25" s="1"/>
  <c r="M23" i="25" s="1"/>
  <c r="N23" i="25" s="1"/>
  <c r="I42" i="25"/>
  <c r="K42" i="25" s="1"/>
  <c r="M42" i="25" s="1"/>
  <c r="N42" i="25" s="1"/>
  <c r="I33" i="25"/>
  <c r="K33" i="25" s="1"/>
  <c r="M33" i="25" s="1"/>
  <c r="N33" i="25" s="1"/>
  <c r="I18" i="25"/>
  <c r="K18" i="25" s="1"/>
  <c r="M18" i="25" s="1"/>
  <c r="N18" i="25" s="1"/>
  <c r="I48" i="25"/>
  <c r="K48" i="25" s="1"/>
  <c r="M48" i="25" s="1"/>
  <c r="N48" i="25" s="1"/>
  <c r="I21" i="25"/>
  <c r="K21" i="25" s="1"/>
  <c r="M21" i="25" s="1"/>
  <c r="N21" i="25" s="1"/>
  <c r="I16" i="25"/>
  <c r="K16" i="25" s="1"/>
  <c r="M16" i="25" s="1"/>
  <c r="N16" i="25" s="1"/>
  <c r="I29" i="25"/>
  <c r="K29" i="25" s="1"/>
  <c r="M29" i="25" s="1"/>
  <c r="N29" i="25" s="1"/>
  <c r="I46" i="25"/>
  <c r="K46" i="25" s="1"/>
  <c r="M46" i="25" s="1"/>
  <c r="N46" i="25" s="1"/>
  <c r="I28" i="25"/>
  <c r="K28" i="25" s="1"/>
  <c r="M28" i="25" s="1"/>
  <c r="N28" i="25" s="1"/>
  <c r="I20" i="25"/>
  <c r="K20" i="25" s="1"/>
  <c r="M20" i="25" s="1"/>
  <c r="N20" i="25" s="1"/>
  <c r="I32" i="25"/>
  <c r="K32" i="25" s="1"/>
  <c r="M32" i="25" s="1"/>
  <c r="N32" i="25" s="1"/>
  <c r="I22" i="25"/>
  <c r="K22" i="25" s="1"/>
  <c r="M22" i="25" s="1"/>
  <c r="N22" i="25" s="1"/>
  <c r="I36" i="25"/>
  <c r="K36" i="25" s="1"/>
  <c r="M36" i="25" s="1"/>
  <c r="N36" i="25" s="1"/>
  <c r="I37" i="25"/>
  <c r="K37" i="25" s="1"/>
  <c r="M37" i="25" s="1"/>
  <c r="N37" i="25" s="1"/>
  <c r="I38" i="25"/>
  <c r="K38" i="25" s="1"/>
  <c r="I31" i="25"/>
  <c r="K31" i="25" s="1"/>
  <c r="M31" i="25" s="1"/>
  <c r="N31" i="25" s="1"/>
  <c r="I43" i="25"/>
  <c r="K43" i="25" s="1"/>
  <c r="M43" i="25" s="1"/>
  <c r="N43" i="25" s="1"/>
  <c r="I49" i="25"/>
  <c r="K49" i="25" s="1"/>
  <c r="M49" i="25" s="1"/>
  <c r="N49" i="25" s="1"/>
  <c r="I19" i="25"/>
  <c r="K19" i="25" s="1"/>
  <c r="M19" i="25" s="1"/>
  <c r="N19" i="25" s="1"/>
  <c r="I17" i="25"/>
  <c r="K17" i="25" s="1"/>
  <c r="M17" i="25" s="1"/>
  <c r="N17" i="25" s="1"/>
  <c r="I15" i="25"/>
  <c r="K15" i="25" s="1"/>
  <c r="M15" i="25" s="1"/>
  <c r="N15" i="25" s="1"/>
  <c r="I50" i="25"/>
  <c r="K50" i="25" s="1"/>
  <c r="M50" i="25" s="1"/>
  <c r="N50" i="25" s="1"/>
  <c r="I45" i="25"/>
  <c r="K45" i="25" s="1"/>
  <c r="M45" i="25" s="1"/>
  <c r="N45" i="25" s="1"/>
  <c r="I44" i="25"/>
  <c r="K44" i="25" s="1"/>
  <c r="M44" i="25" s="1"/>
  <c r="N44" i="25" s="1"/>
  <c r="I30" i="25"/>
  <c r="K30" i="25" s="1"/>
  <c r="M30" i="25" s="1"/>
  <c r="N30" i="25" s="1"/>
  <c r="I51" i="25"/>
  <c r="K51" i="25" s="1"/>
  <c r="I24" i="25"/>
  <c r="K24" i="25" s="1"/>
  <c r="M24" i="25" s="1"/>
  <c r="N24" i="25" s="1"/>
  <c r="N52" i="29"/>
  <c r="I56" i="34"/>
  <c r="M56" i="34" s="1"/>
  <c r="J56" i="34"/>
  <c r="K56" i="34"/>
  <c r="P56" i="34" s="1"/>
  <c r="S13" i="5"/>
  <c r="T13" i="5" s="1"/>
  <c r="M28" i="18"/>
  <c r="N28" i="18" s="1"/>
  <c r="J84" i="1"/>
  <c r="K84" i="1" s="1"/>
  <c r="L84" i="1" s="1"/>
  <c r="I59" i="30"/>
  <c r="M59" i="30" s="1"/>
  <c r="K59" i="30"/>
  <c r="J59" i="30"/>
  <c r="N59" i="30" s="1"/>
  <c r="T17" i="18"/>
  <c r="U17" i="18" s="1"/>
  <c r="S18" i="10"/>
  <c r="T18" i="10" s="1"/>
  <c r="L13" i="23"/>
  <c r="M13" i="23" s="1"/>
  <c r="P36" i="25"/>
  <c r="R36" i="25" s="1"/>
  <c r="P42" i="25"/>
  <c r="R42" i="25" s="1"/>
  <c r="N62" i="24"/>
  <c r="J95" i="24"/>
  <c r="V12" i="1"/>
  <c r="W12" i="1" s="1"/>
  <c r="S12" i="1"/>
  <c r="T12" i="1" s="1"/>
  <c r="N63" i="24"/>
  <c r="AA25" i="11"/>
  <c r="AB25" i="11" s="1"/>
  <c r="N69" i="31"/>
  <c r="N76" i="31"/>
  <c r="N64" i="29"/>
  <c r="P48" i="29"/>
  <c r="R17" i="11"/>
  <c r="R37" i="11"/>
  <c r="R22" i="1"/>
  <c r="Z25" i="9"/>
  <c r="AA25" i="9" s="1"/>
  <c r="K72" i="30"/>
  <c r="I72" i="30"/>
  <c r="M72" i="30" s="1"/>
  <c r="J72" i="30"/>
  <c r="N72" i="30" s="1"/>
  <c r="K69" i="34"/>
  <c r="P69" i="34" s="1"/>
  <c r="J69" i="34"/>
  <c r="I69" i="34"/>
  <c r="M69" i="34" s="1"/>
  <c r="N63" i="34"/>
  <c r="K48" i="33"/>
  <c r="P48" i="33" s="1"/>
  <c r="J48" i="33"/>
  <c r="I48" i="33"/>
  <c r="M48" i="33" s="1"/>
  <c r="P77" i="24"/>
  <c r="J56" i="30"/>
  <c r="G86" i="30"/>
  <c r="K56" i="30"/>
  <c r="I56" i="30"/>
  <c r="K57" i="34"/>
  <c r="P57" i="34" s="1"/>
  <c r="J57" i="34"/>
  <c r="N57" i="34" s="1"/>
  <c r="I57" i="34"/>
  <c r="M57" i="34" s="1"/>
  <c r="I34" i="16"/>
  <c r="K34" i="16" s="1"/>
  <c r="M34" i="16" s="1"/>
  <c r="N34" i="16" s="1"/>
  <c r="I18" i="16"/>
  <c r="K18" i="16" s="1"/>
  <c r="M18" i="16" s="1"/>
  <c r="N18" i="16" s="1"/>
  <c r="I51" i="32"/>
  <c r="M51" i="32" s="1"/>
  <c r="J51" i="32"/>
  <c r="N51" i="32" s="1"/>
  <c r="K51" i="32"/>
  <c r="P51" i="32" s="1"/>
  <c r="V17" i="21"/>
  <c r="X17" i="21" s="1"/>
  <c r="Z17" i="21" s="1"/>
  <c r="AA17" i="21" s="1"/>
  <c r="V13" i="21"/>
  <c r="X13" i="21" s="1"/>
  <c r="Z13" i="21" s="1"/>
  <c r="AA13" i="21" s="1"/>
  <c r="V19" i="21"/>
  <c r="X19" i="21" s="1"/>
  <c r="V16" i="21"/>
  <c r="X16" i="21" s="1"/>
  <c r="V14" i="21"/>
  <c r="X14" i="21" s="1"/>
  <c r="Z14" i="21" s="1"/>
  <c r="AA14" i="21" s="1"/>
  <c r="V15" i="21"/>
  <c r="X15" i="21" s="1"/>
  <c r="Z15" i="21" s="1"/>
  <c r="AA15" i="21" s="1"/>
  <c r="V18" i="21"/>
  <c r="X18" i="21" s="1"/>
  <c r="J51" i="35"/>
  <c r="I51" i="35"/>
  <c r="M51" i="35" s="1"/>
  <c r="K51" i="35"/>
  <c r="M20" i="18"/>
  <c r="N20" i="18" s="1"/>
  <c r="J83" i="1"/>
  <c r="K83" i="1" s="1"/>
  <c r="L83" i="1" s="1"/>
  <c r="S23" i="5"/>
  <c r="T23" i="5" s="1"/>
  <c r="J47" i="35"/>
  <c r="I47" i="35"/>
  <c r="M47" i="35" s="1"/>
  <c r="K47" i="35"/>
  <c r="T19" i="18"/>
  <c r="U19" i="18" s="1"/>
  <c r="S20" i="10"/>
  <c r="T20" i="10" s="1"/>
  <c r="N24" i="1"/>
  <c r="O24" i="1" s="1"/>
  <c r="P24" i="1" s="1"/>
  <c r="L15" i="23"/>
  <c r="M15" i="23" s="1"/>
  <c r="N80" i="24"/>
  <c r="P25" i="25"/>
  <c r="R25" i="25" s="1"/>
  <c r="P21" i="25"/>
  <c r="R21" i="25" s="1"/>
  <c r="T21" i="25" s="1"/>
  <c r="U21" i="25" s="1"/>
  <c r="S13" i="10"/>
  <c r="T13" i="10" s="1"/>
  <c r="N51" i="27"/>
  <c r="S19" i="10"/>
  <c r="T19" i="10" s="1"/>
  <c r="P62" i="24"/>
  <c r="K95" i="24"/>
  <c r="P68" i="26"/>
  <c r="P63" i="24"/>
  <c r="AA19" i="11"/>
  <c r="AB19" i="11" s="1"/>
  <c r="S14" i="10"/>
  <c r="T14" i="10" s="1"/>
  <c r="R34" i="11"/>
  <c r="Z19" i="21" l="1"/>
  <c r="AA19" i="21" s="1"/>
  <c r="R91" i="1"/>
  <c r="M38" i="25"/>
  <c r="N38" i="25" s="1"/>
  <c r="J48" i="1"/>
  <c r="K48" i="1" s="1"/>
  <c r="L48" i="1" s="1"/>
  <c r="V19" i="23"/>
  <c r="X19" i="23" s="1"/>
  <c r="Z19" i="23" s="1"/>
  <c r="AA19" i="23" s="1"/>
  <c r="V20" i="23"/>
  <c r="X20" i="23" s="1"/>
  <c r="Z20" i="23" s="1"/>
  <c r="AA20" i="23" s="1"/>
  <c r="V17" i="23"/>
  <c r="X17" i="23" s="1"/>
  <c r="Z17" i="23" s="1"/>
  <c r="AA17" i="23" s="1"/>
  <c r="V15" i="23"/>
  <c r="X15" i="23" s="1"/>
  <c r="Z15" i="23" s="1"/>
  <c r="AA15" i="23" s="1"/>
  <c r="V21" i="23"/>
  <c r="X21" i="23" s="1"/>
  <c r="V16" i="23"/>
  <c r="X16" i="23" s="1"/>
  <c r="Z16" i="23" s="1"/>
  <c r="AA16" i="23" s="1"/>
  <c r="V14" i="23"/>
  <c r="X14" i="23" s="1"/>
  <c r="Z14" i="23" s="1"/>
  <c r="AA14" i="23" s="1"/>
  <c r="V18" i="23"/>
  <c r="X18" i="23" s="1"/>
  <c r="Z18" i="23" s="1"/>
  <c r="AA18" i="23" s="1"/>
  <c r="V13" i="23"/>
  <c r="X13" i="23" s="1"/>
  <c r="Z13" i="23" s="1"/>
  <c r="AA13" i="23" s="1"/>
  <c r="P63" i="35"/>
  <c r="L23" i="12"/>
  <c r="M23" i="12" s="1"/>
  <c r="J30" i="1"/>
  <c r="K30" i="1" s="1"/>
  <c r="L30" i="1" s="1"/>
  <c r="P76" i="30"/>
  <c r="P49" i="35"/>
  <c r="P54" i="35"/>
  <c r="P57" i="35"/>
  <c r="S14" i="14"/>
  <c r="T14" i="14" s="1"/>
  <c r="AA26" i="11"/>
  <c r="AB26" i="11" s="1"/>
  <c r="N62" i="34"/>
  <c r="P57" i="32"/>
  <c r="S20" i="12"/>
  <c r="T20" i="12" s="1"/>
  <c r="W16" i="18"/>
  <c r="Y16" i="18" s="1"/>
  <c r="AA16" i="18" s="1"/>
  <c r="AB16" i="18" s="1"/>
  <c r="S16" i="13"/>
  <c r="T16" i="13" s="1"/>
  <c r="S14" i="19"/>
  <c r="T14" i="19" s="1"/>
  <c r="T50" i="25"/>
  <c r="U50" i="25" s="1"/>
  <c r="I24" i="29"/>
  <c r="K24" i="29" s="1"/>
  <c r="M24" i="29" s="1"/>
  <c r="N24" i="29" s="1"/>
  <c r="I31" i="29"/>
  <c r="K31" i="29" s="1"/>
  <c r="M31" i="29" s="1"/>
  <c r="N31" i="29" s="1"/>
  <c r="I35" i="29"/>
  <c r="K35" i="29" s="1"/>
  <c r="I14" i="29"/>
  <c r="K14" i="29" s="1"/>
  <c r="M14" i="29" s="1"/>
  <c r="N14" i="29" s="1"/>
  <c r="I23" i="29"/>
  <c r="K23" i="29" s="1"/>
  <c r="M23" i="29" s="1"/>
  <c r="N23" i="29" s="1"/>
  <c r="I18" i="29"/>
  <c r="K18" i="29" s="1"/>
  <c r="M18" i="29" s="1"/>
  <c r="N18" i="29" s="1"/>
  <c r="I33" i="29"/>
  <c r="K33" i="29" s="1"/>
  <c r="M33" i="29" s="1"/>
  <c r="N33" i="29" s="1"/>
  <c r="I32" i="29"/>
  <c r="K32" i="29" s="1"/>
  <c r="M32" i="29" s="1"/>
  <c r="N32" i="29" s="1"/>
  <c r="I34" i="29"/>
  <c r="K34" i="29" s="1"/>
  <c r="M34" i="29" s="1"/>
  <c r="N34" i="29" s="1"/>
  <c r="I16" i="29"/>
  <c r="K16" i="29" s="1"/>
  <c r="M16" i="29" s="1"/>
  <c r="N16" i="29" s="1"/>
  <c r="I15" i="29"/>
  <c r="K15" i="29" s="1"/>
  <c r="M15" i="29" s="1"/>
  <c r="N15" i="29" s="1"/>
  <c r="I25" i="29"/>
  <c r="K25" i="29" s="1"/>
  <c r="M25" i="29" s="1"/>
  <c r="N25" i="29" s="1"/>
  <c r="I22" i="29"/>
  <c r="K22" i="29" s="1"/>
  <c r="M22" i="29" s="1"/>
  <c r="N22" i="29" s="1"/>
  <c r="I27" i="29"/>
  <c r="K27" i="29" s="1"/>
  <c r="I19" i="29"/>
  <c r="K19" i="29" s="1"/>
  <c r="I26" i="29"/>
  <c r="K26" i="29" s="1"/>
  <c r="M26" i="29" s="1"/>
  <c r="N26" i="29" s="1"/>
  <c r="I17" i="29"/>
  <c r="K17" i="29" s="1"/>
  <c r="M17" i="29" s="1"/>
  <c r="N17" i="29" s="1"/>
  <c r="I30" i="29"/>
  <c r="K30" i="29" s="1"/>
  <c r="M30" i="29" s="1"/>
  <c r="N30" i="29" s="1"/>
  <c r="P48" i="35"/>
  <c r="AA41" i="25"/>
  <c r="AB41" i="25" s="1"/>
  <c r="T31" i="16"/>
  <c r="U31" i="16" s="1"/>
  <c r="W37" i="24"/>
  <c r="Y37" i="24" s="1"/>
  <c r="W33" i="24"/>
  <c r="Y33" i="24" s="1"/>
  <c r="W36" i="24"/>
  <c r="Y36" i="24" s="1"/>
  <c r="W24" i="24"/>
  <c r="Y24" i="24" s="1"/>
  <c r="W44" i="24"/>
  <c r="Y44" i="24" s="1"/>
  <c r="W49" i="24"/>
  <c r="Y49" i="24" s="1"/>
  <c r="AA49" i="24" s="1"/>
  <c r="AB49" i="24" s="1"/>
  <c r="W22" i="24"/>
  <c r="Y22" i="24" s="1"/>
  <c r="W31" i="24"/>
  <c r="Y31" i="24" s="1"/>
  <c r="AA31" i="24" s="1"/>
  <c r="AB31" i="24" s="1"/>
  <c r="W23" i="24"/>
  <c r="Y23" i="24" s="1"/>
  <c r="AA23" i="24" s="1"/>
  <c r="AB23" i="24" s="1"/>
  <c r="W47" i="24"/>
  <c r="Y47" i="24" s="1"/>
  <c r="AA47" i="24" s="1"/>
  <c r="AB47" i="24" s="1"/>
  <c r="W28" i="24"/>
  <c r="Y28" i="24" s="1"/>
  <c r="W51" i="24"/>
  <c r="Y51" i="24" s="1"/>
  <c r="W46" i="24"/>
  <c r="Y46" i="24" s="1"/>
  <c r="W16" i="24"/>
  <c r="Y16" i="24" s="1"/>
  <c r="W35" i="24"/>
  <c r="Y35" i="24" s="1"/>
  <c r="W25" i="24"/>
  <c r="Y25" i="24" s="1"/>
  <c r="W50" i="24"/>
  <c r="Y50" i="24" s="1"/>
  <c r="W17" i="24"/>
  <c r="Y17" i="24" s="1"/>
  <c r="W19" i="24"/>
  <c r="Y19" i="24" s="1"/>
  <c r="AA19" i="24" s="1"/>
  <c r="AB19" i="24" s="1"/>
  <c r="W34" i="24"/>
  <c r="Y34" i="24" s="1"/>
  <c r="AA34" i="24" s="1"/>
  <c r="AB34" i="24" s="1"/>
  <c r="W30" i="24"/>
  <c r="Y30" i="24" s="1"/>
  <c r="AA30" i="24" s="1"/>
  <c r="AB30" i="24" s="1"/>
  <c r="W18" i="24"/>
  <c r="Y18" i="24" s="1"/>
  <c r="AA18" i="24" s="1"/>
  <c r="AB18" i="24" s="1"/>
  <c r="W21" i="24"/>
  <c r="Y21" i="24" s="1"/>
  <c r="W15" i="24"/>
  <c r="Y15" i="24" s="1"/>
  <c r="W45" i="24"/>
  <c r="Y45" i="24" s="1"/>
  <c r="W48" i="24"/>
  <c r="Y48" i="24" s="1"/>
  <c r="W43" i="24"/>
  <c r="Y43" i="24" s="1"/>
  <c r="W42" i="24"/>
  <c r="Y42" i="24" s="1"/>
  <c r="W41" i="24"/>
  <c r="Y41" i="24" s="1"/>
  <c r="W20" i="24"/>
  <c r="Y20" i="24" s="1"/>
  <c r="W38" i="24"/>
  <c r="Y38" i="24" s="1"/>
  <c r="W32" i="24"/>
  <c r="Y32" i="24" s="1"/>
  <c r="W29" i="24"/>
  <c r="Y29" i="24" s="1"/>
  <c r="AA29" i="24" s="1"/>
  <c r="AB29" i="24" s="1"/>
  <c r="P47" i="35"/>
  <c r="Z16" i="21"/>
  <c r="AA16" i="21" s="1"/>
  <c r="M56" i="30"/>
  <c r="I86" i="30"/>
  <c r="N69" i="34"/>
  <c r="M51" i="25"/>
  <c r="N51" i="25" s="1"/>
  <c r="J49" i="1"/>
  <c r="K49" i="1" s="1"/>
  <c r="L49" i="1" s="1"/>
  <c r="P62" i="32"/>
  <c r="M38" i="11"/>
  <c r="N38" i="11" s="1"/>
  <c r="J28" i="1"/>
  <c r="K28" i="1" s="1"/>
  <c r="L28" i="1" s="1"/>
  <c r="N63" i="30"/>
  <c r="T29" i="11"/>
  <c r="U29" i="11" s="1"/>
  <c r="N27" i="1"/>
  <c r="O27" i="1" s="1"/>
  <c r="P27" i="1" s="1"/>
  <c r="S14" i="15"/>
  <c r="T14" i="15" s="1"/>
  <c r="Z15" i="15"/>
  <c r="AA15" i="15" s="1"/>
  <c r="N53" i="32"/>
  <c r="N60" i="30"/>
  <c r="T20" i="11"/>
  <c r="U20" i="11" s="1"/>
  <c r="N26" i="1"/>
  <c r="V27" i="1"/>
  <c r="W27" i="1" s="1"/>
  <c r="P65" i="32"/>
  <c r="P63" i="33"/>
  <c r="Z14" i="12"/>
  <c r="AA14" i="12" s="1"/>
  <c r="S29" i="23"/>
  <c r="T29" i="23" s="1"/>
  <c r="S13" i="14"/>
  <c r="T13" i="14" s="1"/>
  <c r="N53" i="33"/>
  <c r="T20" i="17"/>
  <c r="U20" i="17" s="1"/>
  <c r="N39" i="1"/>
  <c r="Z23" i="13"/>
  <c r="AA23" i="13" s="1"/>
  <c r="R31" i="1"/>
  <c r="S15" i="21"/>
  <c r="T15" i="21" s="1"/>
  <c r="P36" i="27"/>
  <c r="R36" i="27" s="1"/>
  <c r="T36" i="27" s="1"/>
  <c r="U36" i="27" s="1"/>
  <c r="P27" i="27"/>
  <c r="R27" i="27" s="1"/>
  <c r="T27" i="27" s="1"/>
  <c r="U27" i="27" s="1"/>
  <c r="P31" i="27"/>
  <c r="R31" i="27" s="1"/>
  <c r="T31" i="27" s="1"/>
  <c r="U31" i="27" s="1"/>
  <c r="P35" i="27"/>
  <c r="R35" i="27" s="1"/>
  <c r="T35" i="27" s="1"/>
  <c r="U35" i="27" s="1"/>
  <c r="P25" i="27"/>
  <c r="R25" i="27" s="1"/>
  <c r="T25" i="27" s="1"/>
  <c r="U25" i="27" s="1"/>
  <c r="P17" i="27"/>
  <c r="R17" i="27" s="1"/>
  <c r="P21" i="27"/>
  <c r="R21" i="27" s="1"/>
  <c r="P39" i="27"/>
  <c r="R39" i="27" s="1"/>
  <c r="P16" i="27"/>
  <c r="R16" i="27" s="1"/>
  <c r="P20" i="27"/>
  <c r="R20" i="27" s="1"/>
  <c r="P37" i="27"/>
  <c r="R37" i="27" s="1"/>
  <c r="P28" i="27"/>
  <c r="R28" i="27" s="1"/>
  <c r="T28" i="27" s="1"/>
  <c r="U28" i="27" s="1"/>
  <c r="P26" i="27"/>
  <c r="R26" i="27" s="1"/>
  <c r="P38" i="27"/>
  <c r="R38" i="27" s="1"/>
  <c r="P18" i="27"/>
  <c r="R18" i="27" s="1"/>
  <c r="T18" i="27" s="1"/>
  <c r="U18" i="27" s="1"/>
  <c r="P15" i="27"/>
  <c r="R15" i="27" s="1"/>
  <c r="T15" i="27" s="1"/>
  <c r="U15" i="27" s="1"/>
  <c r="P30" i="27"/>
  <c r="R30" i="27" s="1"/>
  <c r="T30" i="27" s="1"/>
  <c r="U30" i="27" s="1"/>
  <c r="P19" i="27"/>
  <c r="R19" i="27" s="1"/>
  <c r="P32" i="27"/>
  <c r="R32" i="27" s="1"/>
  <c r="P22" i="27"/>
  <c r="R22" i="27" s="1"/>
  <c r="P41" i="27"/>
  <c r="R41" i="27" s="1"/>
  <c r="P42" i="27"/>
  <c r="R42" i="27" s="1"/>
  <c r="P40" i="27"/>
  <c r="R40" i="27" s="1"/>
  <c r="P29" i="27"/>
  <c r="R29" i="27" s="1"/>
  <c r="P62" i="34"/>
  <c r="E37" i="34"/>
  <c r="G37" i="34" s="1"/>
  <c r="E17" i="34"/>
  <c r="G17" i="34" s="1"/>
  <c r="E27" i="34"/>
  <c r="G27" i="34" s="1"/>
  <c r="E35" i="34"/>
  <c r="G35" i="34" s="1"/>
  <c r="E24" i="34"/>
  <c r="G24" i="34" s="1"/>
  <c r="E18" i="34"/>
  <c r="G18" i="34" s="1"/>
  <c r="E33" i="34"/>
  <c r="G33" i="34" s="1"/>
  <c r="E34" i="34"/>
  <c r="G34" i="34" s="1"/>
  <c r="E19" i="34"/>
  <c r="G19" i="34" s="1"/>
  <c r="E38" i="34"/>
  <c r="G38" i="34" s="1"/>
  <c r="H81" i="1" s="1"/>
  <c r="E28" i="34"/>
  <c r="G28" i="34" s="1"/>
  <c r="E20" i="34"/>
  <c r="G20" i="34" s="1"/>
  <c r="H79" i="1" s="1"/>
  <c r="E36" i="34"/>
  <c r="G36" i="34" s="1"/>
  <c r="E26" i="34"/>
  <c r="G26" i="34" s="1"/>
  <c r="E15" i="34"/>
  <c r="G15" i="34" s="1"/>
  <c r="E25" i="34"/>
  <c r="G25" i="34" s="1"/>
  <c r="E29" i="34"/>
  <c r="G29" i="34" s="1"/>
  <c r="H80" i="1" s="1"/>
  <c r="E16" i="34"/>
  <c r="G16" i="34" s="1"/>
  <c r="E14" i="34"/>
  <c r="G14" i="34" s="1"/>
  <c r="E23" i="34"/>
  <c r="G23" i="34" s="1"/>
  <c r="E32" i="34"/>
  <c r="G32" i="34" s="1"/>
  <c r="Z23" i="14"/>
  <c r="AA23" i="14" s="1"/>
  <c r="R32" i="1"/>
  <c r="T45" i="25"/>
  <c r="U45" i="25" s="1"/>
  <c r="W31" i="18"/>
  <c r="Y31" i="18" s="1"/>
  <c r="AA31" i="18" s="1"/>
  <c r="AB31" i="18" s="1"/>
  <c r="W35" i="26"/>
  <c r="Y35" i="26" s="1"/>
  <c r="AA35" i="26" s="1"/>
  <c r="AB35" i="26" s="1"/>
  <c r="W32" i="26"/>
  <c r="Y32" i="26" s="1"/>
  <c r="W36" i="26"/>
  <c r="Y36" i="26" s="1"/>
  <c r="AA36" i="26" s="1"/>
  <c r="AB36" i="26" s="1"/>
  <c r="W39" i="26"/>
  <c r="Y39" i="26" s="1"/>
  <c r="W42" i="26"/>
  <c r="Y42" i="26" s="1"/>
  <c r="W16" i="26"/>
  <c r="Y16" i="26" s="1"/>
  <c r="W19" i="26"/>
  <c r="Y19" i="26" s="1"/>
  <c r="AA19" i="26" s="1"/>
  <c r="AB19" i="26" s="1"/>
  <c r="W26" i="26"/>
  <c r="Y26" i="26" s="1"/>
  <c r="W21" i="26"/>
  <c r="Y21" i="26" s="1"/>
  <c r="AA21" i="26" s="1"/>
  <c r="AB21" i="26" s="1"/>
  <c r="W27" i="26"/>
  <c r="Y27" i="26" s="1"/>
  <c r="AA27" i="26" s="1"/>
  <c r="AB27" i="26" s="1"/>
  <c r="W37" i="26"/>
  <c r="Y37" i="26" s="1"/>
  <c r="W28" i="26"/>
  <c r="Y28" i="26" s="1"/>
  <c r="W15" i="26"/>
  <c r="Y15" i="26" s="1"/>
  <c r="AA15" i="26" s="1"/>
  <c r="AB15" i="26" s="1"/>
  <c r="W18" i="26"/>
  <c r="Y18" i="26" s="1"/>
  <c r="W25" i="26"/>
  <c r="Y25" i="26" s="1"/>
  <c r="AA25" i="26" s="1"/>
  <c r="AB25" i="26" s="1"/>
  <c r="W20" i="26"/>
  <c r="Y20" i="26" s="1"/>
  <c r="W22" i="26"/>
  <c r="Y22" i="26" s="1"/>
  <c r="W17" i="26"/>
  <c r="Y17" i="26" s="1"/>
  <c r="W30" i="26"/>
  <c r="Y30" i="26" s="1"/>
  <c r="W29" i="26"/>
  <c r="Y29" i="26" s="1"/>
  <c r="W40" i="26"/>
  <c r="Y40" i="26" s="1"/>
  <c r="AA40" i="26" s="1"/>
  <c r="AB40" i="26" s="1"/>
  <c r="W38" i="26"/>
  <c r="Y38" i="26" s="1"/>
  <c r="AA38" i="26" s="1"/>
  <c r="AB38" i="26" s="1"/>
  <c r="W41" i="26"/>
  <c r="Y41" i="26" s="1"/>
  <c r="AA41" i="26" s="1"/>
  <c r="AB41" i="26" s="1"/>
  <c r="W31" i="26"/>
  <c r="Y31" i="26" s="1"/>
  <c r="N31" i="1"/>
  <c r="S23" i="13"/>
  <c r="T23" i="13" s="1"/>
  <c r="S17" i="19"/>
  <c r="T17" i="19" s="1"/>
  <c r="P27" i="26"/>
  <c r="R27" i="26" s="1"/>
  <c r="P22" i="26"/>
  <c r="R22" i="26" s="1"/>
  <c r="P40" i="26"/>
  <c r="R40" i="26" s="1"/>
  <c r="P16" i="26"/>
  <c r="R16" i="26" s="1"/>
  <c r="T16" i="26" s="1"/>
  <c r="U16" i="26" s="1"/>
  <c r="P21" i="26"/>
  <c r="R21" i="26" s="1"/>
  <c r="P41" i="26"/>
  <c r="R41" i="26" s="1"/>
  <c r="P35" i="26"/>
  <c r="R35" i="26" s="1"/>
  <c r="T35" i="26" s="1"/>
  <c r="U35" i="26" s="1"/>
  <c r="P20" i="26"/>
  <c r="R20" i="26" s="1"/>
  <c r="P28" i="26"/>
  <c r="R28" i="26" s="1"/>
  <c r="T28" i="26" s="1"/>
  <c r="U28" i="26" s="1"/>
  <c r="P37" i="26"/>
  <c r="R37" i="26" s="1"/>
  <c r="T37" i="26" s="1"/>
  <c r="U37" i="26" s="1"/>
  <c r="P18" i="26"/>
  <c r="R18" i="26" s="1"/>
  <c r="T18" i="26" s="1"/>
  <c r="U18" i="26" s="1"/>
  <c r="P30" i="26"/>
  <c r="R30" i="26" s="1"/>
  <c r="T30" i="26" s="1"/>
  <c r="U30" i="26" s="1"/>
  <c r="P32" i="26"/>
  <c r="R32" i="26" s="1"/>
  <c r="P38" i="26"/>
  <c r="R38" i="26" s="1"/>
  <c r="P25" i="26"/>
  <c r="R25" i="26" s="1"/>
  <c r="P36" i="26"/>
  <c r="R36" i="26" s="1"/>
  <c r="P19" i="26"/>
  <c r="R19" i="26" s="1"/>
  <c r="P15" i="26"/>
  <c r="R15" i="26" s="1"/>
  <c r="P29" i="26"/>
  <c r="R29" i="26" s="1"/>
  <c r="T29" i="26" s="1"/>
  <c r="U29" i="26" s="1"/>
  <c r="P39" i="26"/>
  <c r="R39" i="26" s="1"/>
  <c r="P42" i="26"/>
  <c r="R42" i="26" s="1"/>
  <c r="P26" i="26"/>
  <c r="R26" i="26" s="1"/>
  <c r="T26" i="26" s="1"/>
  <c r="U26" i="26" s="1"/>
  <c r="P31" i="26"/>
  <c r="R31" i="26" s="1"/>
  <c r="T31" i="26" s="1"/>
  <c r="U31" i="26" s="1"/>
  <c r="P17" i="26"/>
  <c r="R17" i="26" s="1"/>
  <c r="T17" i="26" s="1"/>
  <c r="U17" i="26" s="1"/>
  <c r="P28" i="31"/>
  <c r="R28" i="31" s="1"/>
  <c r="P29" i="31"/>
  <c r="R29" i="31" s="1"/>
  <c r="P43" i="31"/>
  <c r="R43" i="31" s="1"/>
  <c r="P19" i="31"/>
  <c r="R19" i="31" s="1"/>
  <c r="P44" i="31"/>
  <c r="R44" i="31" s="1"/>
  <c r="P30" i="31"/>
  <c r="R30" i="31" s="1"/>
  <c r="P41" i="31"/>
  <c r="R41" i="31" s="1"/>
  <c r="P39" i="31"/>
  <c r="R39" i="31" s="1"/>
  <c r="P45" i="31"/>
  <c r="R45" i="31" s="1"/>
  <c r="P35" i="31"/>
  <c r="R35" i="31" s="1"/>
  <c r="T35" i="31" s="1"/>
  <c r="U35" i="31" s="1"/>
  <c r="P21" i="31"/>
  <c r="R21" i="31" s="1"/>
  <c r="T21" i="31" s="1"/>
  <c r="U21" i="31" s="1"/>
  <c r="P46" i="31"/>
  <c r="R46" i="31" s="1"/>
  <c r="T46" i="31" s="1"/>
  <c r="U46" i="31" s="1"/>
  <c r="P23" i="31"/>
  <c r="R23" i="31" s="1"/>
  <c r="P27" i="31"/>
  <c r="R27" i="31" s="1"/>
  <c r="P17" i="31"/>
  <c r="R17" i="31" s="1"/>
  <c r="P22" i="31"/>
  <c r="R22" i="31" s="1"/>
  <c r="P32" i="31"/>
  <c r="R32" i="31" s="1"/>
  <c r="P15" i="31"/>
  <c r="R15" i="31" s="1"/>
  <c r="P48" i="31"/>
  <c r="R48" i="31" s="1"/>
  <c r="P31" i="31"/>
  <c r="R31" i="31" s="1"/>
  <c r="T31" i="31" s="1"/>
  <c r="U31" i="31" s="1"/>
  <c r="P40" i="31"/>
  <c r="R40" i="31" s="1"/>
  <c r="T40" i="31" s="1"/>
  <c r="U40" i="31" s="1"/>
  <c r="P24" i="31"/>
  <c r="R24" i="31" s="1"/>
  <c r="P20" i="31"/>
  <c r="R20" i="31" s="1"/>
  <c r="T20" i="31" s="1"/>
  <c r="U20" i="31" s="1"/>
  <c r="P42" i="31"/>
  <c r="R42" i="31" s="1"/>
  <c r="T42" i="31" s="1"/>
  <c r="U42" i="31" s="1"/>
  <c r="P16" i="31"/>
  <c r="R16" i="31" s="1"/>
  <c r="P36" i="31"/>
  <c r="R36" i="31" s="1"/>
  <c r="P34" i="31"/>
  <c r="R34" i="31" s="1"/>
  <c r="T34" i="31" s="1"/>
  <c r="U34" i="31" s="1"/>
  <c r="P47" i="31"/>
  <c r="R47" i="31" s="1"/>
  <c r="P33" i="31"/>
  <c r="R33" i="31" s="1"/>
  <c r="P18" i="31"/>
  <c r="R18" i="31" s="1"/>
  <c r="Z13" i="19"/>
  <c r="AA13" i="19" s="1"/>
  <c r="AA15" i="11"/>
  <c r="AB15" i="11" s="1"/>
  <c r="P50" i="34"/>
  <c r="P67" i="30"/>
  <c r="I40" i="26"/>
  <c r="K40" i="26" s="1"/>
  <c r="M40" i="26" s="1"/>
  <c r="N40" i="26" s="1"/>
  <c r="I38" i="26"/>
  <c r="K38" i="26" s="1"/>
  <c r="M38" i="26" s="1"/>
  <c r="N38" i="26" s="1"/>
  <c r="I35" i="26"/>
  <c r="K35" i="26" s="1"/>
  <c r="M35" i="26" s="1"/>
  <c r="N35" i="26" s="1"/>
  <c r="I16" i="26"/>
  <c r="K16" i="26" s="1"/>
  <c r="M16" i="26" s="1"/>
  <c r="N16" i="26" s="1"/>
  <c r="I17" i="26"/>
  <c r="K17" i="26" s="1"/>
  <c r="M17" i="26" s="1"/>
  <c r="N17" i="26" s="1"/>
  <c r="I31" i="26"/>
  <c r="K31" i="26" s="1"/>
  <c r="M31" i="26" s="1"/>
  <c r="N31" i="26" s="1"/>
  <c r="I27" i="26"/>
  <c r="K27" i="26" s="1"/>
  <c r="M27" i="26" s="1"/>
  <c r="N27" i="26" s="1"/>
  <c r="I26" i="26"/>
  <c r="K26" i="26" s="1"/>
  <c r="M26" i="26" s="1"/>
  <c r="N26" i="26" s="1"/>
  <c r="I22" i="26"/>
  <c r="K22" i="26" s="1"/>
  <c r="I37" i="26"/>
  <c r="K37" i="26" s="1"/>
  <c r="M37" i="26" s="1"/>
  <c r="N37" i="26" s="1"/>
  <c r="I36" i="26"/>
  <c r="K36" i="26" s="1"/>
  <c r="M36" i="26" s="1"/>
  <c r="N36" i="26" s="1"/>
  <c r="I21" i="26"/>
  <c r="K21" i="26" s="1"/>
  <c r="M21" i="26" s="1"/>
  <c r="N21" i="26" s="1"/>
  <c r="I25" i="26"/>
  <c r="K25" i="26" s="1"/>
  <c r="M25" i="26" s="1"/>
  <c r="N25" i="26" s="1"/>
  <c r="I39" i="26"/>
  <c r="K39" i="26" s="1"/>
  <c r="M39" i="26" s="1"/>
  <c r="N39" i="26" s="1"/>
  <c r="I30" i="26"/>
  <c r="K30" i="26" s="1"/>
  <c r="M30" i="26" s="1"/>
  <c r="N30" i="26" s="1"/>
  <c r="I32" i="26"/>
  <c r="K32" i="26" s="1"/>
  <c r="I15" i="26"/>
  <c r="K15" i="26" s="1"/>
  <c r="M15" i="26" s="1"/>
  <c r="N15" i="26" s="1"/>
  <c r="I29" i="26"/>
  <c r="K29" i="26" s="1"/>
  <c r="M29" i="26" s="1"/>
  <c r="N29" i="26" s="1"/>
  <c r="I28" i="26"/>
  <c r="K28" i="26" s="1"/>
  <c r="M28" i="26" s="1"/>
  <c r="N28" i="26" s="1"/>
  <c r="I42" i="26"/>
  <c r="K42" i="26" s="1"/>
  <c r="I41" i="26"/>
  <c r="K41" i="26" s="1"/>
  <c r="M41" i="26" s="1"/>
  <c r="N41" i="26" s="1"/>
  <c r="I19" i="26"/>
  <c r="K19" i="26" s="1"/>
  <c r="M19" i="26" s="1"/>
  <c r="N19" i="26" s="1"/>
  <c r="I20" i="26"/>
  <c r="K20" i="26" s="1"/>
  <c r="M20" i="26" s="1"/>
  <c r="N20" i="26" s="1"/>
  <c r="I18" i="26"/>
  <c r="K18" i="26" s="1"/>
  <c r="M18" i="26" s="1"/>
  <c r="N18" i="26" s="1"/>
  <c r="AA48" i="25"/>
  <c r="AB48" i="25" s="1"/>
  <c r="AA51" i="25"/>
  <c r="AB51" i="25" s="1"/>
  <c r="R49" i="1"/>
  <c r="AA24" i="25"/>
  <c r="AB24" i="25" s="1"/>
  <c r="T30" i="16"/>
  <c r="U30" i="16" s="1"/>
  <c r="T23" i="16"/>
  <c r="U23" i="16" s="1"/>
  <c r="T51" i="16"/>
  <c r="U51" i="16" s="1"/>
  <c r="W23" i="28"/>
  <c r="Y23" i="28" s="1"/>
  <c r="W36" i="28"/>
  <c r="Y36" i="28" s="1"/>
  <c r="W37" i="28"/>
  <c r="Y37" i="28" s="1"/>
  <c r="AA37" i="28" s="1"/>
  <c r="AB37" i="28" s="1"/>
  <c r="W15" i="28"/>
  <c r="Y15" i="28" s="1"/>
  <c r="W34" i="28"/>
  <c r="Y34" i="28" s="1"/>
  <c r="AA34" i="28" s="1"/>
  <c r="AB34" i="28" s="1"/>
  <c r="W17" i="28"/>
  <c r="Y17" i="28" s="1"/>
  <c r="AA17" i="28" s="1"/>
  <c r="AB17" i="28" s="1"/>
  <c r="W33" i="28"/>
  <c r="Y33" i="28" s="1"/>
  <c r="AA33" i="28" s="1"/>
  <c r="AB33" i="28" s="1"/>
  <c r="W26" i="28"/>
  <c r="Y26" i="28" s="1"/>
  <c r="W27" i="28"/>
  <c r="Y27" i="28" s="1"/>
  <c r="W25" i="28"/>
  <c r="Y25" i="28" s="1"/>
  <c r="W20" i="28"/>
  <c r="Y20" i="28" s="1"/>
  <c r="W38" i="28"/>
  <c r="Y38" i="28" s="1"/>
  <c r="W16" i="28"/>
  <c r="Y16" i="28" s="1"/>
  <c r="W32" i="28"/>
  <c r="Y32" i="28" s="1"/>
  <c r="W19" i="28"/>
  <c r="Y19" i="28" s="1"/>
  <c r="AA19" i="28" s="1"/>
  <c r="AB19" i="28" s="1"/>
  <c r="W28" i="28"/>
  <c r="Y28" i="28" s="1"/>
  <c r="AA28" i="28" s="1"/>
  <c r="AB28" i="28" s="1"/>
  <c r="W24" i="28"/>
  <c r="Y24" i="28" s="1"/>
  <c r="W18" i="28"/>
  <c r="Y18" i="28" s="1"/>
  <c r="AA18" i="28" s="1"/>
  <c r="AB18" i="28" s="1"/>
  <c r="W35" i="28"/>
  <c r="Y35" i="28" s="1"/>
  <c r="W29" i="28"/>
  <c r="Y29" i="28" s="1"/>
  <c r="W14" i="28"/>
  <c r="Y14" i="28" s="1"/>
  <c r="R48" i="1"/>
  <c r="AA38" i="25"/>
  <c r="AB38" i="25" s="1"/>
  <c r="T33" i="11"/>
  <c r="U33" i="11" s="1"/>
  <c r="M36" i="22"/>
  <c r="N36" i="22" s="1"/>
  <c r="J95" i="1"/>
  <c r="K95" i="1" s="1"/>
  <c r="L95" i="1" s="1"/>
  <c r="T18" i="25"/>
  <c r="U18" i="25" s="1"/>
  <c r="N45" i="33"/>
  <c r="P73" i="30"/>
  <c r="AA37" i="25"/>
  <c r="AB37" i="25" s="1"/>
  <c r="S32" i="23"/>
  <c r="T32" i="23" s="1"/>
  <c r="P45" i="33"/>
  <c r="L19" i="21"/>
  <c r="M19" i="21" s="1"/>
  <c r="J91" i="1"/>
  <c r="K91" i="1" s="1"/>
  <c r="L91" i="1" s="1"/>
  <c r="P49" i="33"/>
  <c r="P56" i="30"/>
  <c r="K86" i="30"/>
  <c r="T30" i="25"/>
  <c r="U30" i="25" s="1"/>
  <c r="AA25" i="25"/>
  <c r="AB25" i="25" s="1"/>
  <c r="R47" i="1"/>
  <c r="M20" i="17"/>
  <c r="N20" i="17" s="1"/>
  <c r="J39" i="1"/>
  <c r="K39" i="1" s="1"/>
  <c r="L39" i="1" s="1"/>
  <c r="M49" i="34"/>
  <c r="I84" i="34"/>
  <c r="I85" i="34"/>
  <c r="N55" i="33"/>
  <c r="P72" i="30"/>
  <c r="AA44" i="25"/>
  <c r="AB44" i="25" s="1"/>
  <c r="AA43" i="25"/>
  <c r="AB43" i="25" s="1"/>
  <c r="T34" i="16"/>
  <c r="U34" i="16" s="1"/>
  <c r="E23" i="30"/>
  <c r="G23" i="30" s="1"/>
  <c r="E48" i="30"/>
  <c r="G48" i="30" s="1"/>
  <c r="H65" i="1" s="1"/>
  <c r="E36" i="30"/>
  <c r="G36" i="30" s="1"/>
  <c r="H64" i="1" s="1"/>
  <c r="E21" i="30"/>
  <c r="G21" i="30" s="1"/>
  <c r="E16" i="30"/>
  <c r="G16" i="30" s="1"/>
  <c r="E28" i="30"/>
  <c r="G28" i="30" s="1"/>
  <c r="E20" i="30"/>
  <c r="G20" i="30" s="1"/>
  <c r="E42" i="30"/>
  <c r="G42" i="30" s="1"/>
  <c r="E19" i="30"/>
  <c r="G19" i="30" s="1"/>
  <c r="E47" i="30"/>
  <c r="G47" i="30" s="1"/>
  <c r="E15" i="30"/>
  <c r="G15" i="30" s="1"/>
  <c r="E34" i="30"/>
  <c r="G34" i="30" s="1"/>
  <c r="E40" i="30"/>
  <c r="G40" i="30" s="1"/>
  <c r="E27" i="30"/>
  <c r="G27" i="30" s="1"/>
  <c r="E44" i="30"/>
  <c r="G44" i="30" s="1"/>
  <c r="E46" i="30"/>
  <c r="G46" i="30" s="1"/>
  <c r="E22" i="30"/>
  <c r="G22" i="30" s="1"/>
  <c r="E29" i="30"/>
  <c r="G29" i="30" s="1"/>
  <c r="E33" i="30"/>
  <c r="G33" i="30" s="1"/>
  <c r="E32" i="30"/>
  <c r="G32" i="30" s="1"/>
  <c r="E43" i="30"/>
  <c r="G43" i="30" s="1"/>
  <c r="E35" i="30"/>
  <c r="G35" i="30" s="1"/>
  <c r="E41" i="30"/>
  <c r="G41" i="30" s="1"/>
  <c r="E30" i="30"/>
  <c r="G30" i="30" s="1"/>
  <c r="E18" i="30"/>
  <c r="G18" i="30" s="1"/>
  <c r="E31" i="30"/>
  <c r="G31" i="30" s="1"/>
  <c r="E17" i="30"/>
  <c r="G17" i="30" s="1"/>
  <c r="E39" i="30"/>
  <c r="G39" i="30" s="1"/>
  <c r="E24" i="30"/>
  <c r="G24" i="30" s="1"/>
  <c r="H63" i="1" s="1"/>
  <c r="E45" i="30"/>
  <c r="G45" i="30" s="1"/>
  <c r="N64" i="35"/>
  <c r="M26" i="16"/>
  <c r="N26" i="16" s="1"/>
  <c r="J35" i="1"/>
  <c r="K35" i="1" s="1"/>
  <c r="L35" i="1" s="1"/>
  <c r="V26" i="1"/>
  <c r="W26" i="1" s="1"/>
  <c r="S26" i="1"/>
  <c r="T26" i="1" s="1"/>
  <c r="T16" i="22"/>
  <c r="U16" i="22" s="1"/>
  <c r="P64" i="35"/>
  <c r="N49" i="33"/>
  <c r="T20" i="16"/>
  <c r="U20" i="16" s="1"/>
  <c r="M25" i="25"/>
  <c r="N25" i="25" s="1"/>
  <c r="J47" i="1"/>
  <c r="K47" i="1" s="1"/>
  <c r="L47" i="1" s="1"/>
  <c r="L23" i="19"/>
  <c r="M23" i="19" s="1"/>
  <c r="J87" i="1"/>
  <c r="K87" i="1" s="1"/>
  <c r="L87" i="1" s="1"/>
  <c r="AA29" i="25"/>
  <c r="AB29" i="25" s="1"/>
  <c r="T23" i="25"/>
  <c r="U23" i="25" s="1"/>
  <c r="N61" i="30"/>
  <c r="P58" i="34"/>
  <c r="T20" i="25"/>
  <c r="U20" i="25" s="1"/>
  <c r="P50" i="35"/>
  <c r="L33" i="23"/>
  <c r="M33" i="23" s="1"/>
  <c r="J98" i="1"/>
  <c r="K98" i="1" s="1"/>
  <c r="L98" i="1" s="1"/>
  <c r="W19" i="31"/>
  <c r="Y19" i="31" s="1"/>
  <c r="AA19" i="31" s="1"/>
  <c r="AB19" i="31" s="1"/>
  <c r="W24" i="31"/>
  <c r="Y24" i="31" s="1"/>
  <c r="W46" i="31"/>
  <c r="Y46" i="31" s="1"/>
  <c r="W30" i="31"/>
  <c r="Y30" i="31" s="1"/>
  <c r="W21" i="31"/>
  <c r="Y21" i="31" s="1"/>
  <c r="W43" i="31"/>
  <c r="Y43" i="31" s="1"/>
  <c r="AA43" i="31" s="1"/>
  <c r="AB43" i="31" s="1"/>
  <c r="W29" i="31"/>
  <c r="Y29" i="31" s="1"/>
  <c r="AA29" i="31" s="1"/>
  <c r="AB29" i="31" s="1"/>
  <c r="W41" i="31"/>
  <c r="Y41" i="31" s="1"/>
  <c r="W39" i="31"/>
  <c r="Y39" i="31" s="1"/>
  <c r="W48" i="31"/>
  <c r="Y48" i="31" s="1"/>
  <c r="W23" i="31"/>
  <c r="Y23" i="31" s="1"/>
  <c r="AA23" i="31" s="1"/>
  <c r="AB23" i="31" s="1"/>
  <c r="W45" i="31"/>
  <c r="Y45" i="31" s="1"/>
  <c r="AA45" i="31" s="1"/>
  <c r="AB45" i="31" s="1"/>
  <c r="W33" i="31"/>
  <c r="Y33" i="31" s="1"/>
  <c r="AA33" i="31" s="1"/>
  <c r="AB33" i="31" s="1"/>
  <c r="W22" i="31"/>
  <c r="Y22" i="31" s="1"/>
  <c r="AA22" i="31" s="1"/>
  <c r="AB22" i="31" s="1"/>
  <c r="W15" i="31"/>
  <c r="Y15" i="31" s="1"/>
  <c r="W44" i="31"/>
  <c r="Y44" i="31" s="1"/>
  <c r="W28" i="31"/>
  <c r="Y28" i="31" s="1"/>
  <c r="AA28" i="31" s="1"/>
  <c r="AB28" i="31" s="1"/>
  <c r="W40" i="31"/>
  <c r="Y40" i="31" s="1"/>
  <c r="W35" i="31"/>
  <c r="Y35" i="31" s="1"/>
  <c r="W32" i="31"/>
  <c r="Y32" i="31" s="1"/>
  <c r="AA32" i="31" s="1"/>
  <c r="AB32" i="31" s="1"/>
  <c r="W27" i="31"/>
  <c r="Y27" i="31" s="1"/>
  <c r="AA27" i="31" s="1"/>
  <c r="AB27" i="31" s="1"/>
  <c r="W17" i="31"/>
  <c r="Y17" i="31" s="1"/>
  <c r="AA17" i="31" s="1"/>
  <c r="AB17" i="31" s="1"/>
  <c r="W20" i="31"/>
  <c r="Y20" i="31" s="1"/>
  <c r="W18" i="31"/>
  <c r="Y18" i="31" s="1"/>
  <c r="AA18" i="31" s="1"/>
  <c r="AB18" i="31" s="1"/>
  <c r="W47" i="31"/>
  <c r="Y47" i="31" s="1"/>
  <c r="AA47" i="31" s="1"/>
  <c r="AB47" i="31" s="1"/>
  <c r="W36" i="31"/>
  <c r="Y36" i="31" s="1"/>
  <c r="W31" i="31"/>
  <c r="Y31" i="31" s="1"/>
  <c r="W34" i="31"/>
  <c r="Y34" i="31" s="1"/>
  <c r="W16" i="31"/>
  <c r="Y16" i="31" s="1"/>
  <c r="AA16" i="31" s="1"/>
  <c r="AB16" i="31" s="1"/>
  <c r="W42" i="31"/>
  <c r="Y42" i="31" s="1"/>
  <c r="Z14" i="14"/>
  <c r="AA14" i="14" s="1"/>
  <c r="S17" i="12"/>
  <c r="T17" i="12" s="1"/>
  <c r="W25" i="18"/>
  <c r="Y25" i="18" s="1"/>
  <c r="AA25" i="18" s="1"/>
  <c r="AB25" i="18" s="1"/>
  <c r="W19" i="18"/>
  <c r="Y19" i="18" s="1"/>
  <c r="AA19" i="18" s="1"/>
  <c r="AB19" i="18" s="1"/>
  <c r="S13" i="19"/>
  <c r="T13" i="19" s="1"/>
  <c r="P54" i="33"/>
  <c r="E36" i="33"/>
  <c r="G36" i="33" s="1"/>
  <c r="H77" i="1" s="1"/>
  <c r="E31" i="33"/>
  <c r="G31" i="33" s="1"/>
  <c r="E23" i="33"/>
  <c r="G23" i="33" s="1"/>
  <c r="E17" i="33"/>
  <c r="G17" i="33" s="1"/>
  <c r="E18" i="33"/>
  <c r="G18" i="33" s="1"/>
  <c r="E34" i="33"/>
  <c r="G34" i="33" s="1"/>
  <c r="E19" i="33"/>
  <c r="G19" i="33" s="1"/>
  <c r="E32" i="33"/>
  <c r="G32" i="33" s="1"/>
  <c r="E20" i="33"/>
  <c r="G20" i="33" s="1"/>
  <c r="H75" i="1" s="1"/>
  <c r="E15" i="33"/>
  <c r="G15" i="33" s="1"/>
  <c r="E25" i="33"/>
  <c r="G25" i="33" s="1"/>
  <c r="E35" i="33"/>
  <c r="G35" i="33" s="1"/>
  <c r="E24" i="33"/>
  <c r="G24" i="33" s="1"/>
  <c r="E16" i="33"/>
  <c r="G16" i="33" s="1"/>
  <c r="E26" i="33"/>
  <c r="G26" i="33" s="1"/>
  <c r="E27" i="33"/>
  <c r="G27" i="33" s="1"/>
  <c r="E28" i="33"/>
  <c r="G28" i="33" s="1"/>
  <c r="H76" i="1" s="1"/>
  <c r="E33" i="33"/>
  <c r="G33" i="33" s="1"/>
  <c r="V28" i="1"/>
  <c r="W28" i="1" s="1"/>
  <c r="T27" i="11"/>
  <c r="U27" i="11" s="1"/>
  <c r="O83" i="1"/>
  <c r="P83" i="1" s="1"/>
  <c r="T46" i="16"/>
  <c r="U46" i="16" s="1"/>
  <c r="T25" i="25"/>
  <c r="U25" i="25" s="1"/>
  <c r="N47" i="1"/>
  <c r="P51" i="35"/>
  <c r="V22" i="1"/>
  <c r="W22" i="1" s="1"/>
  <c r="S22" i="1"/>
  <c r="T22" i="1" s="1"/>
  <c r="P50" i="32"/>
  <c r="P63" i="32"/>
  <c r="Z16" i="15"/>
  <c r="AA16" i="15" s="1"/>
  <c r="N46" i="35"/>
  <c r="P61" i="30"/>
  <c r="T33" i="22"/>
  <c r="U33" i="22" s="1"/>
  <c r="P62" i="35"/>
  <c r="S13" i="20"/>
  <c r="T13" i="20" s="1"/>
  <c r="S21" i="23"/>
  <c r="T21" i="23" s="1"/>
  <c r="N97" i="1"/>
  <c r="O97" i="1" s="1"/>
  <c r="P97" i="1" s="1"/>
  <c r="P66" i="34"/>
  <c r="Z15" i="12"/>
  <c r="AA15" i="12" s="1"/>
  <c r="T34" i="25"/>
  <c r="U34" i="25" s="1"/>
  <c r="W25" i="27"/>
  <c r="Y25" i="27" s="1"/>
  <c r="W41" i="27"/>
  <c r="Y41" i="27" s="1"/>
  <c r="AA41" i="27" s="1"/>
  <c r="AB41" i="27" s="1"/>
  <c r="W42" i="27"/>
  <c r="Y42" i="27" s="1"/>
  <c r="W15" i="27"/>
  <c r="Y15" i="27" s="1"/>
  <c r="W31" i="27"/>
  <c r="Y31" i="27" s="1"/>
  <c r="W26" i="27"/>
  <c r="Y26" i="27" s="1"/>
  <c r="AA26" i="27" s="1"/>
  <c r="AB26" i="27" s="1"/>
  <c r="W30" i="27"/>
  <c r="Y30" i="27" s="1"/>
  <c r="W39" i="27"/>
  <c r="Y39" i="27" s="1"/>
  <c r="AA39" i="27" s="1"/>
  <c r="AB39" i="27" s="1"/>
  <c r="W32" i="27"/>
  <c r="Y32" i="27" s="1"/>
  <c r="W19" i="27"/>
  <c r="Y19" i="27" s="1"/>
  <c r="AA19" i="27" s="1"/>
  <c r="AB19" i="27" s="1"/>
  <c r="W38" i="27"/>
  <c r="Y38" i="27" s="1"/>
  <c r="W16" i="27"/>
  <c r="Y16" i="27" s="1"/>
  <c r="AA16" i="27" s="1"/>
  <c r="AB16" i="27" s="1"/>
  <c r="W40" i="27"/>
  <c r="Y40" i="27" s="1"/>
  <c r="AA40" i="27" s="1"/>
  <c r="AB40" i="27" s="1"/>
  <c r="W36" i="27"/>
  <c r="Y36" i="27" s="1"/>
  <c r="W37" i="27"/>
  <c r="Y37" i="27" s="1"/>
  <c r="AA37" i="27" s="1"/>
  <c r="AB37" i="27" s="1"/>
  <c r="W27" i="27"/>
  <c r="Y27" i="27" s="1"/>
  <c r="W20" i="27"/>
  <c r="Y20" i="27" s="1"/>
  <c r="AA20" i="27" s="1"/>
  <c r="AB20" i="27" s="1"/>
  <c r="W21" i="27"/>
  <c r="Y21" i="27" s="1"/>
  <c r="AA21" i="27" s="1"/>
  <c r="AB21" i="27" s="1"/>
  <c r="W17" i="27"/>
  <c r="Y17" i="27" s="1"/>
  <c r="AA17" i="27" s="1"/>
  <c r="AB17" i="27" s="1"/>
  <c r="W22" i="27"/>
  <c r="Y22" i="27" s="1"/>
  <c r="W29" i="27"/>
  <c r="Y29" i="27" s="1"/>
  <c r="AA29" i="27" s="1"/>
  <c r="AB29" i="27" s="1"/>
  <c r="W35" i="27"/>
  <c r="Y35" i="27" s="1"/>
  <c r="W18" i="27"/>
  <c r="Y18" i="27" s="1"/>
  <c r="W28" i="27"/>
  <c r="Y28" i="27" s="1"/>
  <c r="N56" i="35"/>
  <c r="S22" i="14"/>
  <c r="T22" i="14" s="1"/>
  <c r="T32" i="17"/>
  <c r="U32" i="17" s="1"/>
  <c r="T25" i="17"/>
  <c r="U25" i="17" s="1"/>
  <c r="Z17" i="13"/>
  <c r="AA17" i="13" s="1"/>
  <c r="N45" i="35"/>
  <c r="N58" i="32"/>
  <c r="Z18" i="14"/>
  <c r="AA18" i="14" s="1"/>
  <c r="AA27" i="11"/>
  <c r="AB27" i="11" s="1"/>
  <c r="S22" i="12"/>
  <c r="T22" i="12" s="1"/>
  <c r="W34" i="18"/>
  <c r="Y34" i="18" s="1"/>
  <c r="AA34" i="18" s="1"/>
  <c r="AB34" i="18" s="1"/>
  <c r="W28" i="18"/>
  <c r="Y28" i="18" s="1"/>
  <c r="S19" i="13"/>
  <c r="T19" i="13" s="1"/>
  <c r="P52" i="32"/>
  <c r="S22" i="19"/>
  <c r="T22" i="19" s="1"/>
  <c r="M44" i="33"/>
  <c r="I74" i="33"/>
  <c r="E15" i="35"/>
  <c r="G15" i="35" s="1"/>
  <c r="E25" i="35"/>
  <c r="G25" i="35" s="1"/>
  <c r="E27" i="35"/>
  <c r="G27" i="35" s="1"/>
  <c r="H105" i="1" s="1"/>
  <c r="E26" i="35"/>
  <c r="G26" i="35" s="1"/>
  <c r="E19" i="35"/>
  <c r="G19" i="35" s="1"/>
  <c r="H104" i="1" s="1"/>
  <c r="E18" i="35"/>
  <c r="G18" i="35" s="1"/>
  <c r="E35" i="35"/>
  <c r="G35" i="35" s="1"/>
  <c r="H106" i="1" s="1"/>
  <c r="E16" i="35"/>
  <c r="G16" i="35" s="1"/>
  <c r="E22" i="35"/>
  <c r="G22" i="35" s="1"/>
  <c r="E24" i="35"/>
  <c r="G24" i="35" s="1"/>
  <c r="E23" i="35"/>
  <c r="G23" i="35" s="1"/>
  <c r="E31" i="35"/>
  <c r="G31" i="35" s="1"/>
  <c r="E33" i="35"/>
  <c r="G33" i="35" s="1"/>
  <c r="E14" i="35"/>
  <c r="G14" i="35" s="1"/>
  <c r="E30" i="35"/>
  <c r="G30" i="35" s="1"/>
  <c r="E34" i="35"/>
  <c r="G34" i="35" s="1"/>
  <c r="E32" i="35"/>
  <c r="G32" i="35" s="1"/>
  <c r="E17" i="35"/>
  <c r="G17" i="35" s="1"/>
  <c r="Z23" i="19"/>
  <c r="AA23" i="19" s="1"/>
  <c r="R87" i="1"/>
  <c r="T49" i="25"/>
  <c r="U49" i="25" s="1"/>
  <c r="AA35" i="25"/>
  <c r="AB35" i="25" s="1"/>
  <c r="AA23" i="25"/>
  <c r="AB23" i="25" s="1"/>
  <c r="AA36" i="25"/>
  <c r="AB36" i="25" s="1"/>
  <c r="P52" i="35"/>
  <c r="N47" i="35"/>
  <c r="Z22" i="15"/>
  <c r="AA22" i="15" s="1"/>
  <c r="R33" i="1"/>
  <c r="T44" i="25"/>
  <c r="U44" i="25" s="1"/>
  <c r="S23" i="14"/>
  <c r="T23" i="14" s="1"/>
  <c r="N32" i="1"/>
  <c r="S23" i="19"/>
  <c r="T23" i="19" s="1"/>
  <c r="N87" i="1"/>
  <c r="O87" i="1" s="1"/>
  <c r="P87" i="1" s="1"/>
  <c r="J26" i="1"/>
  <c r="K26" i="1" s="1"/>
  <c r="L26" i="1" s="1"/>
  <c r="M20" i="11"/>
  <c r="N20" i="11" s="1"/>
  <c r="AA33" i="11"/>
  <c r="AB33" i="11" s="1"/>
  <c r="N49" i="32"/>
  <c r="O85" i="1"/>
  <c r="P85" i="1" s="1"/>
  <c r="M20" i="22"/>
  <c r="N20" i="22" s="1"/>
  <c r="J93" i="1"/>
  <c r="K93" i="1" s="1"/>
  <c r="L93" i="1" s="1"/>
  <c r="N50" i="35"/>
  <c r="I34" i="31"/>
  <c r="K34" i="31" s="1"/>
  <c r="M34" i="31" s="1"/>
  <c r="N34" i="31" s="1"/>
  <c r="I22" i="31"/>
  <c r="K22" i="31" s="1"/>
  <c r="M22" i="31" s="1"/>
  <c r="N22" i="31" s="1"/>
  <c r="I31" i="31"/>
  <c r="K31" i="31" s="1"/>
  <c r="M31" i="31" s="1"/>
  <c r="N31" i="31" s="1"/>
  <c r="I42" i="31"/>
  <c r="K42" i="31" s="1"/>
  <c r="M42" i="31" s="1"/>
  <c r="N42" i="31" s="1"/>
  <c r="I24" i="31"/>
  <c r="K24" i="31" s="1"/>
  <c r="I43" i="31"/>
  <c r="K43" i="31" s="1"/>
  <c r="M43" i="31" s="1"/>
  <c r="N43" i="31" s="1"/>
  <c r="I18" i="31"/>
  <c r="K18" i="31" s="1"/>
  <c r="M18" i="31" s="1"/>
  <c r="N18" i="31" s="1"/>
  <c r="I28" i="31"/>
  <c r="K28" i="31" s="1"/>
  <c r="M28" i="31" s="1"/>
  <c r="N28" i="31" s="1"/>
  <c r="I39" i="31"/>
  <c r="K39" i="31" s="1"/>
  <c r="M39" i="31" s="1"/>
  <c r="N39" i="31" s="1"/>
  <c r="I23" i="31"/>
  <c r="K23" i="31" s="1"/>
  <c r="M23" i="31" s="1"/>
  <c r="N23" i="31" s="1"/>
  <c r="I30" i="31"/>
  <c r="K30" i="31" s="1"/>
  <c r="M30" i="31" s="1"/>
  <c r="N30" i="31" s="1"/>
  <c r="I21" i="31"/>
  <c r="K21" i="31" s="1"/>
  <c r="M21" i="31" s="1"/>
  <c r="N21" i="31" s="1"/>
  <c r="I33" i="31"/>
  <c r="K33" i="31" s="1"/>
  <c r="M33" i="31" s="1"/>
  <c r="N33" i="31" s="1"/>
  <c r="I47" i="31"/>
  <c r="K47" i="31" s="1"/>
  <c r="M47" i="31" s="1"/>
  <c r="N47" i="31" s="1"/>
  <c r="I29" i="31"/>
  <c r="K29" i="31" s="1"/>
  <c r="M29" i="31" s="1"/>
  <c r="N29" i="31" s="1"/>
  <c r="I16" i="31"/>
  <c r="K16" i="31" s="1"/>
  <c r="M16" i="31" s="1"/>
  <c r="N16" i="31" s="1"/>
  <c r="I15" i="31"/>
  <c r="K15" i="31" s="1"/>
  <c r="M15" i="31" s="1"/>
  <c r="N15" i="31" s="1"/>
  <c r="I27" i="31"/>
  <c r="K27" i="31" s="1"/>
  <c r="M27" i="31" s="1"/>
  <c r="N27" i="31" s="1"/>
  <c r="I41" i="31"/>
  <c r="K41" i="31" s="1"/>
  <c r="M41" i="31" s="1"/>
  <c r="N41" i="31" s="1"/>
  <c r="I19" i="31"/>
  <c r="K19" i="31" s="1"/>
  <c r="M19" i="31" s="1"/>
  <c r="N19" i="31" s="1"/>
  <c r="I32" i="31"/>
  <c r="K32" i="31" s="1"/>
  <c r="M32" i="31" s="1"/>
  <c r="N32" i="31" s="1"/>
  <c r="I48" i="31"/>
  <c r="K48" i="31" s="1"/>
  <c r="I45" i="31"/>
  <c r="K45" i="31" s="1"/>
  <c r="M45" i="31" s="1"/>
  <c r="N45" i="31" s="1"/>
  <c r="I17" i="31"/>
  <c r="K17" i="31" s="1"/>
  <c r="M17" i="31" s="1"/>
  <c r="N17" i="31" s="1"/>
  <c r="I35" i="31"/>
  <c r="K35" i="31" s="1"/>
  <c r="M35" i="31" s="1"/>
  <c r="N35" i="31" s="1"/>
  <c r="I44" i="31"/>
  <c r="K44" i="31" s="1"/>
  <c r="M44" i="31" s="1"/>
  <c r="N44" i="31" s="1"/>
  <c r="I36" i="31"/>
  <c r="K36" i="31" s="1"/>
  <c r="I46" i="31"/>
  <c r="K46" i="31" s="1"/>
  <c r="M46" i="31" s="1"/>
  <c r="N46" i="31" s="1"/>
  <c r="I20" i="31"/>
  <c r="K20" i="31" s="1"/>
  <c r="M20" i="31" s="1"/>
  <c r="N20" i="31" s="1"/>
  <c r="I40" i="31"/>
  <c r="K40" i="31" s="1"/>
  <c r="M40" i="31" s="1"/>
  <c r="N40" i="31" s="1"/>
  <c r="M38" i="17"/>
  <c r="N38" i="17" s="1"/>
  <c r="J41" i="1"/>
  <c r="K41" i="1" s="1"/>
  <c r="L41" i="1" s="1"/>
  <c r="P49" i="34"/>
  <c r="K84" i="34"/>
  <c r="K85" i="34"/>
  <c r="W33" i="18"/>
  <c r="Y33" i="18" s="1"/>
  <c r="AA33" i="18" s="1"/>
  <c r="AB33" i="18" s="1"/>
  <c r="P55" i="33"/>
  <c r="N63" i="32"/>
  <c r="N62" i="35"/>
  <c r="T37" i="11"/>
  <c r="U37" i="11" s="1"/>
  <c r="Z18" i="15"/>
  <c r="AA18" i="15" s="1"/>
  <c r="T28" i="25"/>
  <c r="U28" i="25" s="1"/>
  <c r="S89" i="1"/>
  <c r="T89" i="1" s="1"/>
  <c r="V89" i="1"/>
  <c r="W89" i="1" s="1"/>
  <c r="Z18" i="12"/>
  <c r="AA18" i="12" s="1"/>
  <c r="T26" i="17"/>
  <c r="U26" i="17" s="1"/>
  <c r="T16" i="17"/>
  <c r="U16" i="17" s="1"/>
  <c r="T23" i="11"/>
  <c r="U23" i="11" s="1"/>
  <c r="Z20" i="14"/>
  <c r="AA20" i="14" s="1"/>
  <c r="S21" i="12"/>
  <c r="T21" i="12" s="1"/>
  <c r="W23" i="18"/>
  <c r="Y23" i="18" s="1"/>
  <c r="AA23" i="18" s="1"/>
  <c r="AB23" i="18" s="1"/>
  <c r="W15" i="18"/>
  <c r="Y15" i="18" s="1"/>
  <c r="AA15" i="18" s="1"/>
  <c r="AB15" i="18" s="1"/>
  <c r="S14" i="13"/>
  <c r="T14" i="13" s="1"/>
  <c r="P44" i="33"/>
  <c r="K74" i="33"/>
  <c r="M44" i="35"/>
  <c r="I80" i="35"/>
  <c r="I79" i="35"/>
  <c r="W43" i="16"/>
  <c r="Y43" i="16" s="1"/>
  <c r="AA43" i="16" s="1"/>
  <c r="AB43" i="16" s="1"/>
  <c r="W37" i="16"/>
  <c r="Y37" i="16" s="1"/>
  <c r="AA37" i="16" s="1"/>
  <c r="AB37" i="16" s="1"/>
  <c r="W42" i="16"/>
  <c r="Y42" i="16" s="1"/>
  <c r="AA42" i="16" s="1"/>
  <c r="AB42" i="16" s="1"/>
  <c r="W34" i="16"/>
  <c r="Y34" i="16" s="1"/>
  <c r="AA34" i="16" s="1"/>
  <c r="AB34" i="16" s="1"/>
  <c r="W26" i="16"/>
  <c r="Y26" i="16" s="1"/>
  <c r="W33" i="16"/>
  <c r="Y33" i="16" s="1"/>
  <c r="AA33" i="16" s="1"/>
  <c r="AB33" i="16" s="1"/>
  <c r="W25" i="16"/>
  <c r="Y25" i="16" s="1"/>
  <c r="AA25" i="16" s="1"/>
  <c r="AB25" i="16" s="1"/>
  <c r="W31" i="16"/>
  <c r="Y31" i="16" s="1"/>
  <c r="AA31" i="16" s="1"/>
  <c r="AB31" i="16" s="1"/>
  <c r="W20" i="16"/>
  <c r="Y20" i="16" s="1"/>
  <c r="AA20" i="16" s="1"/>
  <c r="AB20" i="16" s="1"/>
  <c r="W39" i="16"/>
  <c r="Y39" i="16" s="1"/>
  <c r="W22" i="16"/>
  <c r="Y22" i="16" s="1"/>
  <c r="AA22" i="16" s="1"/>
  <c r="AB22" i="16" s="1"/>
  <c r="W30" i="16"/>
  <c r="Y30" i="16" s="1"/>
  <c r="AA30" i="16" s="1"/>
  <c r="AB30" i="16" s="1"/>
  <c r="W23" i="16"/>
  <c r="Y23" i="16" s="1"/>
  <c r="AA23" i="16" s="1"/>
  <c r="AB23" i="16" s="1"/>
  <c r="W19" i="16"/>
  <c r="Y19" i="16" s="1"/>
  <c r="AA19" i="16" s="1"/>
  <c r="AB19" i="16" s="1"/>
  <c r="W48" i="16"/>
  <c r="Y48" i="16" s="1"/>
  <c r="AA48" i="16" s="1"/>
  <c r="AB48" i="16" s="1"/>
  <c r="W24" i="16"/>
  <c r="Y24" i="16" s="1"/>
  <c r="AA24" i="16" s="1"/>
  <c r="AB24" i="16" s="1"/>
  <c r="W32" i="16"/>
  <c r="Y32" i="16" s="1"/>
  <c r="AA32" i="16" s="1"/>
  <c r="AB32" i="16" s="1"/>
  <c r="W17" i="16"/>
  <c r="Y17" i="16" s="1"/>
  <c r="AA17" i="16" s="1"/>
  <c r="AB17" i="16" s="1"/>
  <c r="W21" i="16"/>
  <c r="Y21" i="16" s="1"/>
  <c r="AA21" i="16" s="1"/>
  <c r="AB21" i="16" s="1"/>
  <c r="W16" i="16"/>
  <c r="Y16" i="16" s="1"/>
  <c r="AA16" i="16" s="1"/>
  <c r="AB16" i="16" s="1"/>
  <c r="W49" i="16"/>
  <c r="Y49" i="16" s="1"/>
  <c r="AA49" i="16" s="1"/>
  <c r="AB49" i="16" s="1"/>
  <c r="W38" i="16"/>
  <c r="Y38" i="16" s="1"/>
  <c r="AA38" i="16" s="1"/>
  <c r="AB38" i="16" s="1"/>
  <c r="W50" i="16"/>
  <c r="Y50" i="16" s="1"/>
  <c r="AA50" i="16" s="1"/>
  <c r="AB50" i="16" s="1"/>
  <c r="W51" i="16"/>
  <c r="Y51" i="16" s="1"/>
  <c r="AA51" i="16" s="1"/>
  <c r="AB51" i="16" s="1"/>
  <c r="W18" i="16"/>
  <c r="Y18" i="16" s="1"/>
  <c r="AA18" i="16" s="1"/>
  <c r="AB18" i="16" s="1"/>
  <c r="W52" i="16"/>
  <c r="Y52" i="16" s="1"/>
  <c r="W35" i="16"/>
  <c r="Y35" i="16" s="1"/>
  <c r="AA35" i="16" s="1"/>
  <c r="AB35" i="16" s="1"/>
  <c r="W36" i="16"/>
  <c r="Y36" i="16" s="1"/>
  <c r="AA36" i="16" s="1"/>
  <c r="AB36" i="16" s="1"/>
  <c r="W29" i="16"/>
  <c r="Y29" i="16" s="1"/>
  <c r="AA29" i="16" s="1"/>
  <c r="AB29" i="16" s="1"/>
  <c r="W46" i="16"/>
  <c r="Y46" i="16" s="1"/>
  <c r="AA46" i="16" s="1"/>
  <c r="AB46" i="16" s="1"/>
  <c r="W47" i="16"/>
  <c r="Y47" i="16" s="1"/>
  <c r="AA47" i="16" s="1"/>
  <c r="AB47" i="16" s="1"/>
  <c r="W44" i="16"/>
  <c r="Y44" i="16" s="1"/>
  <c r="AA44" i="16" s="1"/>
  <c r="AB44" i="16" s="1"/>
  <c r="W45" i="16"/>
  <c r="Y45" i="16" s="1"/>
  <c r="AA45" i="16" s="1"/>
  <c r="AB45" i="16" s="1"/>
  <c r="V93" i="1"/>
  <c r="W93" i="1" s="1"/>
  <c r="S93" i="1"/>
  <c r="T93" i="1" s="1"/>
  <c r="AA18" i="25"/>
  <c r="AB18" i="25" s="1"/>
  <c r="AA46" i="25"/>
  <c r="AB46" i="25" s="1"/>
  <c r="T16" i="16"/>
  <c r="U16" i="16" s="1"/>
  <c r="T47" i="16"/>
  <c r="U47" i="16" s="1"/>
  <c r="T22" i="16"/>
  <c r="U22" i="16" s="1"/>
  <c r="E14" i="32"/>
  <c r="G14" i="32" s="1"/>
  <c r="E26" i="32"/>
  <c r="G26" i="32" s="1"/>
  <c r="E20" i="32"/>
  <c r="G20" i="32" s="1"/>
  <c r="H71" i="1" s="1"/>
  <c r="E32" i="32"/>
  <c r="G32" i="32" s="1"/>
  <c r="E24" i="32"/>
  <c r="G24" i="32" s="1"/>
  <c r="E27" i="32"/>
  <c r="G27" i="32" s="1"/>
  <c r="E36" i="32"/>
  <c r="G36" i="32" s="1"/>
  <c r="E29" i="32"/>
  <c r="G29" i="32" s="1"/>
  <c r="H72" i="1" s="1"/>
  <c r="E15" i="32"/>
  <c r="G15" i="32" s="1"/>
  <c r="E37" i="32"/>
  <c r="G37" i="32" s="1"/>
  <c r="E19" i="32"/>
  <c r="G19" i="32" s="1"/>
  <c r="E34" i="32"/>
  <c r="G34" i="32" s="1"/>
  <c r="E17" i="32"/>
  <c r="G17" i="32" s="1"/>
  <c r="E35" i="32"/>
  <c r="G35" i="32" s="1"/>
  <c r="E25" i="32"/>
  <c r="G25" i="32" s="1"/>
  <c r="E28" i="32"/>
  <c r="G28" i="32" s="1"/>
  <c r="E23" i="32"/>
  <c r="G23" i="32" s="1"/>
  <c r="E16" i="32"/>
  <c r="G16" i="32" s="1"/>
  <c r="E18" i="32"/>
  <c r="G18" i="32" s="1"/>
  <c r="E38" i="32"/>
  <c r="G38" i="32" s="1"/>
  <c r="H73" i="1" s="1"/>
  <c r="E33" i="32"/>
  <c r="G33" i="32" s="1"/>
  <c r="T38" i="25"/>
  <c r="U38" i="25" s="1"/>
  <c r="N48" i="1"/>
  <c r="O48" i="1" s="1"/>
  <c r="P48" i="1" s="1"/>
  <c r="P19" i="28"/>
  <c r="R19" i="28" s="1"/>
  <c r="P28" i="28"/>
  <c r="R28" i="28" s="1"/>
  <c r="P29" i="28"/>
  <c r="R29" i="28" s="1"/>
  <c r="P25" i="28"/>
  <c r="R25" i="28" s="1"/>
  <c r="P34" i="28"/>
  <c r="R34" i="28" s="1"/>
  <c r="P18" i="28"/>
  <c r="R18" i="28" s="1"/>
  <c r="T18" i="28" s="1"/>
  <c r="U18" i="28" s="1"/>
  <c r="P38" i="28"/>
  <c r="R38" i="28" s="1"/>
  <c r="P24" i="28"/>
  <c r="R24" i="28" s="1"/>
  <c r="T24" i="28" s="1"/>
  <c r="U24" i="28" s="1"/>
  <c r="P15" i="28"/>
  <c r="R15" i="28" s="1"/>
  <c r="T15" i="28" s="1"/>
  <c r="U15" i="28" s="1"/>
  <c r="P35" i="28"/>
  <c r="R35" i="28" s="1"/>
  <c r="T35" i="28" s="1"/>
  <c r="U35" i="28" s="1"/>
  <c r="P17" i="28"/>
  <c r="R17" i="28" s="1"/>
  <c r="P26" i="28"/>
  <c r="R26" i="28" s="1"/>
  <c r="P27" i="28"/>
  <c r="R27" i="28" s="1"/>
  <c r="P20" i="28"/>
  <c r="R20" i="28" s="1"/>
  <c r="P14" i="28"/>
  <c r="R14" i="28" s="1"/>
  <c r="P37" i="28"/>
  <c r="R37" i="28" s="1"/>
  <c r="T37" i="28" s="1"/>
  <c r="U37" i="28" s="1"/>
  <c r="P23" i="28"/>
  <c r="R23" i="28" s="1"/>
  <c r="P16" i="28"/>
  <c r="R16" i="28" s="1"/>
  <c r="P36" i="28"/>
  <c r="R36" i="28" s="1"/>
  <c r="T36" i="28" s="1"/>
  <c r="U36" i="28" s="1"/>
  <c r="P33" i="28"/>
  <c r="R33" i="28" s="1"/>
  <c r="T33" i="28" s="1"/>
  <c r="U33" i="28" s="1"/>
  <c r="P32" i="28"/>
  <c r="R32" i="28" s="1"/>
  <c r="T32" i="28" s="1"/>
  <c r="U32" i="28" s="1"/>
  <c r="P51" i="34"/>
  <c r="S33" i="23"/>
  <c r="T33" i="23" s="1"/>
  <c r="N98" i="1"/>
  <c r="T39" i="16"/>
  <c r="U39" i="16" s="1"/>
  <c r="N36" i="1"/>
  <c r="P57" i="30"/>
  <c r="N65" i="34"/>
  <c r="P68" i="34"/>
  <c r="T32" i="25"/>
  <c r="U32" i="25" s="1"/>
  <c r="T51" i="25"/>
  <c r="U51" i="25" s="1"/>
  <c r="N49" i="1"/>
  <c r="O49" i="1" s="1"/>
  <c r="P49" i="1" s="1"/>
  <c r="P17" i="29"/>
  <c r="R17" i="29" s="1"/>
  <c r="T17" i="29" s="1"/>
  <c r="U17" i="29" s="1"/>
  <c r="P30" i="29"/>
  <c r="R30" i="29" s="1"/>
  <c r="T30" i="29" s="1"/>
  <c r="U30" i="29" s="1"/>
  <c r="P14" i="29"/>
  <c r="R14" i="29" s="1"/>
  <c r="P25" i="29"/>
  <c r="R25" i="29" s="1"/>
  <c r="T25" i="29" s="1"/>
  <c r="U25" i="29" s="1"/>
  <c r="P26" i="29"/>
  <c r="R26" i="29" s="1"/>
  <c r="P19" i="29"/>
  <c r="R19" i="29" s="1"/>
  <c r="P18" i="29"/>
  <c r="R18" i="29" s="1"/>
  <c r="P15" i="29"/>
  <c r="R15" i="29" s="1"/>
  <c r="T15" i="29" s="1"/>
  <c r="U15" i="29" s="1"/>
  <c r="P27" i="29"/>
  <c r="R27" i="29" s="1"/>
  <c r="P22" i="29"/>
  <c r="R22" i="29" s="1"/>
  <c r="T22" i="29" s="1"/>
  <c r="U22" i="29" s="1"/>
  <c r="P24" i="29"/>
  <c r="R24" i="29" s="1"/>
  <c r="T24" i="29" s="1"/>
  <c r="U24" i="29" s="1"/>
  <c r="P23" i="29"/>
  <c r="R23" i="29" s="1"/>
  <c r="T23" i="29" s="1"/>
  <c r="U23" i="29" s="1"/>
  <c r="P35" i="29"/>
  <c r="R35" i="29" s="1"/>
  <c r="P32" i="29"/>
  <c r="R32" i="29" s="1"/>
  <c r="T32" i="29" s="1"/>
  <c r="U32" i="29" s="1"/>
  <c r="P34" i="29"/>
  <c r="R34" i="29" s="1"/>
  <c r="T34" i="29" s="1"/>
  <c r="U34" i="29" s="1"/>
  <c r="P33" i="29"/>
  <c r="R33" i="29" s="1"/>
  <c r="P31" i="29"/>
  <c r="R31" i="29" s="1"/>
  <c r="P16" i="29"/>
  <c r="R16" i="29" s="1"/>
  <c r="T16" i="29" s="1"/>
  <c r="U16" i="29" s="1"/>
  <c r="P65" i="34"/>
  <c r="T24" i="22"/>
  <c r="U24" i="22" s="1"/>
  <c r="S17" i="15"/>
  <c r="T17" i="15" s="1"/>
  <c r="P54" i="32"/>
  <c r="P69" i="30"/>
  <c r="O94" i="1"/>
  <c r="P94" i="1" s="1"/>
  <c r="L23" i="13"/>
  <c r="M23" i="13" s="1"/>
  <c r="J31" i="1"/>
  <c r="K31" i="1" s="1"/>
  <c r="L31" i="1" s="1"/>
  <c r="N51" i="35"/>
  <c r="N48" i="33"/>
  <c r="T17" i="11"/>
  <c r="U17" i="11" s="1"/>
  <c r="T36" i="25"/>
  <c r="U36" i="25" s="1"/>
  <c r="N56" i="34"/>
  <c r="N54" i="34"/>
  <c r="P52" i="33"/>
  <c r="Z12" i="15"/>
  <c r="AA12" i="15" s="1"/>
  <c r="I48" i="24"/>
  <c r="K48" i="24" s="1"/>
  <c r="M48" i="24" s="1"/>
  <c r="N48" i="24" s="1"/>
  <c r="I37" i="24"/>
  <c r="K37" i="24" s="1"/>
  <c r="M37" i="24" s="1"/>
  <c r="N37" i="24" s="1"/>
  <c r="I47" i="24"/>
  <c r="K47" i="24" s="1"/>
  <c r="M47" i="24" s="1"/>
  <c r="N47" i="24" s="1"/>
  <c r="I28" i="24"/>
  <c r="K28" i="24" s="1"/>
  <c r="M28" i="24" s="1"/>
  <c r="N28" i="24" s="1"/>
  <c r="I51" i="24"/>
  <c r="K51" i="24" s="1"/>
  <c r="I44" i="24"/>
  <c r="K44" i="24" s="1"/>
  <c r="M44" i="24" s="1"/>
  <c r="N44" i="24" s="1"/>
  <c r="I35" i="24"/>
  <c r="K35" i="24" s="1"/>
  <c r="M35" i="24" s="1"/>
  <c r="N35" i="24" s="1"/>
  <c r="I30" i="24"/>
  <c r="K30" i="24" s="1"/>
  <c r="M30" i="24" s="1"/>
  <c r="N30" i="24" s="1"/>
  <c r="I45" i="24"/>
  <c r="K45" i="24" s="1"/>
  <c r="M45" i="24" s="1"/>
  <c r="N45" i="24" s="1"/>
  <c r="I33" i="24"/>
  <c r="K33" i="24" s="1"/>
  <c r="M33" i="24" s="1"/>
  <c r="N33" i="24" s="1"/>
  <c r="I38" i="24"/>
  <c r="K38" i="24" s="1"/>
  <c r="I20" i="24"/>
  <c r="K20" i="24" s="1"/>
  <c r="M20" i="24" s="1"/>
  <c r="N20" i="24" s="1"/>
  <c r="I43" i="24"/>
  <c r="K43" i="24" s="1"/>
  <c r="M43" i="24" s="1"/>
  <c r="N43" i="24" s="1"/>
  <c r="I32" i="24"/>
  <c r="K32" i="24" s="1"/>
  <c r="M32" i="24" s="1"/>
  <c r="N32" i="24" s="1"/>
  <c r="I46" i="24"/>
  <c r="K46" i="24" s="1"/>
  <c r="M46" i="24" s="1"/>
  <c r="N46" i="24" s="1"/>
  <c r="I34" i="24"/>
  <c r="K34" i="24" s="1"/>
  <c r="M34" i="24" s="1"/>
  <c r="N34" i="24" s="1"/>
  <c r="I36" i="24"/>
  <c r="K36" i="24" s="1"/>
  <c r="M36" i="24" s="1"/>
  <c r="N36" i="24" s="1"/>
  <c r="I31" i="24"/>
  <c r="K31" i="24" s="1"/>
  <c r="M31" i="24" s="1"/>
  <c r="N31" i="24" s="1"/>
  <c r="I25" i="24"/>
  <c r="K25" i="24" s="1"/>
  <c r="I19" i="24"/>
  <c r="K19" i="24" s="1"/>
  <c r="M19" i="24" s="1"/>
  <c r="N19" i="24" s="1"/>
  <c r="I18" i="24"/>
  <c r="K18" i="24" s="1"/>
  <c r="M18" i="24" s="1"/>
  <c r="N18" i="24" s="1"/>
  <c r="I24" i="24"/>
  <c r="K24" i="24" s="1"/>
  <c r="M24" i="24" s="1"/>
  <c r="N24" i="24" s="1"/>
  <c r="I22" i="24"/>
  <c r="K22" i="24" s="1"/>
  <c r="M22" i="24" s="1"/>
  <c r="N22" i="24" s="1"/>
  <c r="I16" i="24"/>
  <c r="K16" i="24" s="1"/>
  <c r="M16" i="24" s="1"/>
  <c r="N16" i="24" s="1"/>
  <c r="I41" i="24"/>
  <c r="K41" i="24" s="1"/>
  <c r="M41" i="24" s="1"/>
  <c r="N41" i="24" s="1"/>
  <c r="I21" i="24"/>
  <c r="K21" i="24" s="1"/>
  <c r="M21" i="24" s="1"/>
  <c r="N21" i="24" s="1"/>
  <c r="I42" i="24"/>
  <c r="K42" i="24" s="1"/>
  <c r="M42" i="24" s="1"/>
  <c r="N42" i="24" s="1"/>
  <c r="I17" i="24"/>
  <c r="K17" i="24" s="1"/>
  <c r="M17" i="24" s="1"/>
  <c r="N17" i="24" s="1"/>
  <c r="I29" i="24"/>
  <c r="K29" i="24" s="1"/>
  <c r="M29" i="24" s="1"/>
  <c r="N29" i="24" s="1"/>
  <c r="I49" i="24"/>
  <c r="K49" i="24" s="1"/>
  <c r="M49" i="24" s="1"/>
  <c r="N49" i="24" s="1"/>
  <c r="I23" i="24"/>
  <c r="K23" i="24" s="1"/>
  <c r="M23" i="24" s="1"/>
  <c r="N23" i="24" s="1"/>
  <c r="I15" i="24"/>
  <c r="K15" i="24" s="1"/>
  <c r="M15" i="24" s="1"/>
  <c r="N15" i="24" s="1"/>
  <c r="I50" i="24"/>
  <c r="K50" i="24" s="1"/>
  <c r="M50" i="24" s="1"/>
  <c r="N50" i="24" s="1"/>
  <c r="N67" i="34"/>
  <c r="T22" i="25"/>
  <c r="U22" i="25" s="1"/>
  <c r="Z17" i="20"/>
  <c r="AA17" i="20" s="1"/>
  <c r="N46" i="33"/>
  <c r="S15" i="20"/>
  <c r="T15" i="20" s="1"/>
  <c r="W27" i="17"/>
  <c r="Y27" i="17" s="1"/>
  <c r="AA27" i="17" s="1"/>
  <c r="AB27" i="17" s="1"/>
  <c r="W35" i="17"/>
  <c r="Y35" i="17" s="1"/>
  <c r="AA35" i="17" s="1"/>
  <c r="AB35" i="17" s="1"/>
  <c r="W17" i="17"/>
  <c r="Y17" i="17" s="1"/>
  <c r="AA17" i="17" s="1"/>
  <c r="AB17" i="17" s="1"/>
  <c r="W19" i="17"/>
  <c r="Y19" i="17" s="1"/>
  <c r="AA19" i="17" s="1"/>
  <c r="AB19" i="17" s="1"/>
  <c r="W25" i="17"/>
  <c r="Y25" i="17" s="1"/>
  <c r="AA25" i="17" s="1"/>
  <c r="AB25" i="17" s="1"/>
  <c r="W24" i="17"/>
  <c r="Y24" i="17" s="1"/>
  <c r="AA24" i="17" s="1"/>
  <c r="AB24" i="17" s="1"/>
  <c r="W16" i="17"/>
  <c r="Y16" i="17" s="1"/>
  <c r="AA16" i="17" s="1"/>
  <c r="AB16" i="17" s="1"/>
  <c r="W36" i="17"/>
  <c r="Y36" i="17" s="1"/>
  <c r="AA36" i="17" s="1"/>
  <c r="AB36" i="17" s="1"/>
  <c r="W15" i="17"/>
  <c r="Y15" i="17" s="1"/>
  <c r="AA15" i="17" s="1"/>
  <c r="AB15" i="17" s="1"/>
  <c r="W33" i="17"/>
  <c r="Y33" i="17" s="1"/>
  <c r="AA33" i="17" s="1"/>
  <c r="AB33" i="17" s="1"/>
  <c r="W14" i="17"/>
  <c r="Y14" i="17" s="1"/>
  <c r="AA14" i="17" s="1"/>
  <c r="AB14" i="17" s="1"/>
  <c r="W28" i="17"/>
  <c r="Y28" i="17" s="1"/>
  <c r="AA28" i="17" s="1"/>
  <c r="AB28" i="17" s="1"/>
  <c r="W20" i="17"/>
  <c r="Y20" i="17" s="1"/>
  <c r="W37" i="17"/>
  <c r="Y37" i="17" s="1"/>
  <c r="AA37" i="17" s="1"/>
  <c r="AB37" i="17" s="1"/>
  <c r="W23" i="17"/>
  <c r="Y23" i="17" s="1"/>
  <c r="AA23" i="17" s="1"/>
  <c r="AB23" i="17" s="1"/>
  <c r="W29" i="17"/>
  <c r="Y29" i="17" s="1"/>
  <c r="W38" i="17"/>
  <c r="Y38" i="17" s="1"/>
  <c r="W34" i="17"/>
  <c r="Y34" i="17" s="1"/>
  <c r="AA34" i="17" s="1"/>
  <c r="AB34" i="17" s="1"/>
  <c r="W18" i="17"/>
  <c r="Y18" i="17" s="1"/>
  <c r="AA18" i="17" s="1"/>
  <c r="AB18" i="17" s="1"/>
  <c r="W32" i="17"/>
  <c r="Y32" i="17" s="1"/>
  <c r="AA32" i="17" s="1"/>
  <c r="AB32" i="17" s="1"/>
  <c r="W26" i="17"/>
  <c r="Y26" i="17" s="1"/>
  <c r="AA26" i="17" s="1"/>
  <c r="AB26" i="17" s="1"/>
  <c r="N50" i="33"/>
  <c r="T35" i="11"/>
  <c r="U35" i="11" s="1"/>
  <c r="AA35" i="11"/>
  <c r="AB35" i="11" s="1"/>
  <c r="P58" i="30"/>
  <c r="Z19" i="12"/>
  <c r="AA19" i="12" s="1"/>
  <c r="S31" i="23"/>
  <c r="T31" i="23" s="1"/>
  <c r="V18" i="1"/>
  <c r="W18" i="1" s="1"/>
  <c r="S18" i="1"/>
  <c r="T18" i="1" s="1"/>
  <c r="S21" i="14"/>
  <c r="T21" i="14" s="1"/>
  <c r="M29" i="17"/>
  <c r="N29" i="17" s="1"/>
  <c r="J40" i="1"/>
  <c r="K40" i="1" s="1"/>
  <c r="L40" i="1" s="1"/>
  <c r="T34" i="17"/>
  <c r="U34" i="17" s="1"/>
  <c r="T18" i="17"/>
  <c r="U18" i="17" s="1"/>
  <c r="L82" i="23"/>
  <c r="V31" i="23" s="1"/>
  <c r="X31" i="23" s="1"/>
  <c r="Z31" i="23" s="1"/>
  <c r="AA31" i="23" s="1"/>
  <c r="T24" i="11"/>
  <c r="U24" i="11" s="1"/>
  <c r="AA24" i="11"/>
  <c r="AB24" i="11" s="1"/>
  <c r="Z15" i="14"/>
  <c r="AA15" i="14" s="1"/>
  <c r="N55" i="32"/>
  <c r="S16" i="12"/>
  <c r="T16" i="12" s="1"/>
  <c r="W20" i="18"/>
  <c r="Y20" i="18" s="1"/>
  <c r="W18" i="18"/>
  <c r="Y18" i="18" s="1"/>
  <c r="AA18" i="18" s="1"/>
  <c r="AB18" i="18" s="1"/>
  <c r="S20" i="13"/>
  <c r="T20" i="13" s="1"/>
  <c r="N68" i="30"/>
  <c r="L23" i="14"/>
  <c r="M23" i="14" s="1"/>
  <c r="J32" i="1"/>
  <c r="K32" i="1" s="1"/>
  <c r="L32" i="1" s="1"/>
  <c r="S21" i="19"/>
  <c r="T21" i="19" s="1"/>
  <c r="N44" i="33"/>
  <c r="J74" i="33"/>
  <c r="N44" i="35"/>
  <c r="J80" i="35"/>
  <c r="J79" i="35"/>
  <c r="Z20" i="19"/>
  <c r="AA20" i="19" s="1"/>
  <c r="N55" i="35"/>
  <c r="L22" i="15"/>
  <c r="M22" i="15" s="1"/>
  <c r="J33" i="1"/>
  <c r="K33" i="1" s="1"/>
  <c r="L33" i="1" s="1"/>
  <c r="P47" i="33"/>
  <c r="N60" i="35"/>
  <c r="T15" i="25"/>
  <c r="U15" i="25" s="1"/>
  <c r="P47" i="32"/>
  <c r="AA50" i="25"/>
  <c r="AB50" i="25" s="1"/>
  <c r="AA30" i="25"/>
  <c r="AB30" i="25" s="1"/>
  <c r="AA34" i="25"/>
  <c r="AB34" i="25" s="1"/>
  <c r="T36" i="16"/>
  <c r="U36" i="16" s="1"/>
  <c r="T38" i="16"/>
  <c r="U38" i="16" s="1"/>
  <c r="T26" i="16"/>
  <c r="U26" i="16" s="1"/>
  <c r="N35" i="1"/>
  <c r="O35" i="1" s="1"/>
  <c r="P35" i="1" s="1"/>
  <c r="P46" i="32"/>
  <c r="K79" i="32"/>
  <c r="P59" i="30"/>
  <c r="V94" i="1"/>
  <c r="W94" i="1" s="1"/>
  <c r="S94" i="1"/>
  <c r="T94" i="1" s="1"/>
  <c r="P61" i="34"/>
  <c r="AA16" i="11"/>
  <c r="AB16" i="11" s="1"/>
  <c r="S19" i="21"/>
  <c r="T19" i="21" s="1"/>
  <c r="N91" i="1"/>
  <c r="O91" i="1" s="1"/>
  <c r="P91" i="1" s="1"/>
  <c r="P53" i="34"/>
  <c r="V13" i="1"/>
  <c r="W13" i="1" s="1"/>
  <c r="S13" i="1"/>
  <c r="T13" i="1" s="1"/>
  <c r="T24" i="25"/>
  <c r="U24" i="25" s="1"/>
  <c r="Z22" i="13"/>
  <c r="AA22" i="13" s="1"/>
  <c r="N54" i="33"/>
  <c r="P20" i="24"/>
  <c r="R20" i="24" s="1"/>
  <c r="T20" i="24" s="1"/>
  <c r="U20" i="24" s="1"/>
  <c r="P28" i="24"/>
  <c r="R28" i="24" s="1"/>
  <c r="P24" i="24"/>
  <c r="R24" i="24" s="1"/>
  <c r="T24" i="24" s="1"/>
  <c r="U24" i="24" s="1"/>
  <c r="P17" i="24"/>
  <c r="R17" i="24" s="1"/>
  <c r="T17" i="24" s="1"/>
  <c r="U17" i="24" s="1"/>
  <c r="P48" i="24"/>
  <c r="R48" i="24" s="1"/>
  <c r="P16" i="24"/>
  <c r="R16" i="24" s="1"/>
  <c r="P38" i="24"/>
  <c r="R38" i="24" s="1"/>
  <c r="P42" i="24"/>
  <c r="R42" i="24" s="1"/>
  <c r="P37" i="24"/>
  <c r="R37" i="24" s="1"/>
  <c r="P25" i="24"/>
  <c r="R25" i="24" s="1"/>
  <c r="P41" i="24"/>
  <c r="R41" i="24" s="1"/>
  <c r="P33" i="24"/>
  <c r="R33" i="24" s="1"/>
  <c r="T33" i="24" s="1"/>
  <c r="U33" i="24" s="1"/>
  <c r="P51" i="24"/>
  <c r="R51" i="24" s="1"/>
  <c r="P50" i="24"/>
  <c r="R50" i="24" s="1"/>
  <c r="T50" i="24" s="1"/>
  <c r="U50" i="24" s="1"/>
  <c r="P22" i="24"/>
  <c r="R22" i="24" s="1"/>
  <c r="T22" i="24" s="1"/>
  <c r="U22" i="24" s="1"/>
  <c r="P36" i="24"/>
  <c r="R36" i="24" s="1"/>
  <c r="T36" i="24" s="1"/>
  <c r="U36" i="24" s="1"/>
  <c r="P18" i="24"/>
  <c r="R18" i="24" s="1"/>
  <c r="T18" i="24" s="1"/>
  <c r="U18" i="24" s="1"/>
  <c r="P21" i="24"/>
  <c r="R21" i="24" s="1"/>
  <c r="P30" i="24"/>
  <c r="R30" i="24" s="1"/>
  <c r="T30" i="24" s="1"/>
  <c r="U30" i="24" s="1"/>
  <c r="P47" i="24"/>
  <c r="R47" i="24" s="1"/>
  <c r="P29" i="24"/>
  <c r="R29" i="24" s="1"/>
  <c r="T29" i="24" s="1"/>
  <c r="U29" i="24" s="1"/>
  <c r="P49" i="24"/>
  <c r="R49" i="24" s="1"/>
  <c r="T49" i="24" s="1"/>
  <c r="U49" i="24" s="1"/>
  <c r="P34" i="24"/>
  <c r="R34" i="24" s="1"/>
  <c r="P45" i="24"/>
  <c r="R45" i="24" s="1"/>
  <c r="T45" i="24" s="1"/>
  <c r="U45" i="24" s="1"/>
  <c r="P46" i="24"/>
  <c r="R46" i="24" s="1"/>
  <c r="P32" i="24"/>
  <c r="R32" i="24" s="1"/>
  <c r="T32" i="24" s="1"/>
  <c r="U32" i="24" s="1"/>
  <c r="P44" i="24"/>
  <c r="R44" i="24" s="1"/>
  <c r="T44" i="24" s="1"/>
  <c r="U44" i="24" s="1"/>
  <c r="P43" i="24"/>
  <c r="R43" i="24" s="1"/>
  <c r="T43" i="24" s="1"/>
  <c r="U43" i="24" s="1"/>
  <c r="P19" i="24"/>
  <c r="R19" i="24" s="1"/>
  <c r="P31" i="24"/>
  <c r="R31" i="24" s="1"/>
  <c r="T31" i="24" s="1"/>
  <c r="U31" i="24" s="1"/>
  <c r="P35" i="24"/>
  <c r="R35" i="24" s="1"/>
  <c r="T35" i="24" s="1"/>
  <c r="U35" i="24" s="1"/>
  <c r="P23" i="24"/>
  <c r="R23" i="24" s="1"/>
  <c r="T23" i="24" s="1"/>
  <c r="U23" i="24" s="1"/>
  <c r="P15" i="24"/>
  <c r="R15" i="24" s="1"/>
  <c r="T15" i="24" s="1"/>
  <c r="U15" i="24" s="1"/>
  <c r="N53" i="35"/>
  <c r="I17" i="28"/>
  <c r="K17" i="28" s="1"/>
  <c r="M17" i="28" s="1"/>
  <c r="N17" i="28" s="1"/>
  <c r="I16" i="28"/>
  <c r="K16" i="28" s="1"/>
  <c r="M16" i="28" s="1"/>
  <c r="N16" i="28" s="1"/>
  <c r="I15" i="28"/>
  <c r="K15" i="28" s="1"/>
  <c r="M15" i="28" s="1"/>
  <c r="N15" i="28" s="1"/>
  <c r="I14" i="28"/>
  <c r="K14" i="28" s="1"/>
  <c r="M14" i="28" s="1"/>
  <c r="N14" i="28" s="1"/>
  <c r="I38" i="28"/>
  <c r="K38" i="28" s="1"/>
  <c r="I26" i="28"/>
  <c r="K26" i="28" s="1"/>
  <c r="M26" i="28" s="1"/>
  <c r="N26" i="28" s="1"/>
  <c r="I33" i="28"/>
  <c r="K33" i="28" s="1"/>
  <c r="M33" i="28" s="1"/>
  <c r="N33" i="28" s="1"/>
  <c r="I20" i="28"/>
  <c r="K20" i="28" s="1"/>
  <c r="I36" i="28"/>
  <c r="K36" i="28" s="1"/>
  <c r="M36" i="28" s="1"/>
  <c r="N36" i="28" s="1"/>
  <c r="I18" i="28"/>
  <c r="K18" i="28" s="1"/>
  <c r="M18" i="28" s="1"/>
  <c r="N18" i="28" s="1"/>
  <c r="I35" i="28"/>
  <c r="K35" i="28" s="1"/>
  <c r="M35" i="28" s="1"/>
  <c r="N35" i="28" s="1"/>
  <c r="I24" i="28"/>
  <c r="K24" i="28" s="1"/>
  <c r="M24" i="28" s="1"/>
  <c r="N24" i="28" s="1"/>
  <c r="I23" i="28"/>
  <c r="K23" i="28" s="1"/>
  <c r="M23" i="28" s="1"/>
  <c r="N23" i="28" s="1"/>
  <c r="I32" i="28"/>
  <c r="K32" i="28" s="1"/>
  <c r="M32" i="28" s="1"/>
  <c r="N32" i="28" s="1"/>
  <c r="I29" i="28"/>
  <c r="K29" i="28" s="1"/>
  <c r="I25" i="28"/>
  <c r="K25" i="28" s="1"/>
  <c r="M25" i="28" s="1"/>
  <c r="N25" i="28" s="1"/>
  <c r="I28" i="28"/>
  <c r="K28" i="28" s="1"/>
  <c r="M28" i="28" s="1"/>
  <c r="N28" i="28" s="1"/>
  <c r="I34" i="28"/>
  <c r="K34" i="28" s="1"/>
  <c r="M34" i="28" s="1"/>
  <c r="N34" i="28" s="1"/>
  <c r="I27" i="28"/>
  <c r="K27" i="28" s="1"/>
  <c r="M27" i="28" s="1"/>
  <c r="N27" i="28" s="1"/>
  <c r="I37" i="28"/>
  <c r="K37" i="28" s="1"/>
  <c r="M37" i="28" s="1"/>
  <c r="N37" i="28" s="1"/>
  <c r="I19" i="28"/>
  <c r="K19" i="28" s="1"/>
  <c r="M19" i="28" s="1"/>
  <c r="N19" i="28" s="1"/>
  <c r="T34" i="11"/>
  <c r="U34" i="11" s="1"/>
  <c r="AA34" i="11"/>
  <c r="AB34" i="11" s="1"/>
  <c r="T42" i="25"/>
  <c r="U42" i="25" s="1"/>
  <c r="Z18" i="21"/>
  <c r="AA18" i="21" s="1"/>
  <c r="AA28" i="11"/>
  <c r="AB28" i="11" s="1"/>
  <c r="P64" i="33"/>
  <c r="P57" i="33"/>
  <c r="S12" i="15"/>
  <c r="T12" i="15" s="1"/>
  <c r="AA36" i="22"/>
  <c r="AB36" i="22" s="1"/>
  <c r="R95" i="1"/>
  <c r="S18" i="20"/>
  <c r="T18" i="20" s="1"/>
  <c r="N89" i="1"/>
  <c r="O89" i="1" s="1"/>
  <c r="P89" i="1" s="1"/>
  <c r="N56" i="33"/>
  <c r="N58" i="30"/>
  <c r="Z20" i="12"/>
  <c r="AA20" i="12" s="1"/>
  <c r="Z16" i="20"/>
  <c r="AA16" i="20" s="1"/>
  <c r="S30" i="23"/>
  <c r="T30" i="23" s="1"/>
  <c r="T25" i="22"/>
  <c r="U25" i="22" s="1"/>
  <c r="S16" i="14"/>
  <c r="T16" i="14" s="1"/>
  <c r="P56" i="32"/>
  <c r="T29" i="17"/>
  <c r="U29" i="17" s="1"/>
  <c r="N40" i="1"/>
  <c r="N41" i="1"/>
  <c r="T38" i="17"/>
  <c r="U38" i="17" s="1"/>
  <c r="Z15" i="13"/>
  <c r="AA15" i="13" s="1"/>
  <c r="S14" i="21"/>
  <c r="T14" i="21" s="1"/>
  <c r="P62" i="30"/>
  <c r="S23" i="12"/>
  <c r="T23" i="12" s="1"/>
  <c r="N30" i="1"/>
  <c r="O30" i="1" s="1"/>
  <c r="P30" i="1" s="1"/>
  <c r="W36" i="18"/>
  <c r="Y36" i="18" s="1"/>
  <c r="W32" i="18"/>
  <c r="Y32" i="18" s="1"/>
  <c r="AA32" i="18" s="1"/>
  <c r="AB32" i="18" s="1"/>
  <c r="S13" i="13"/>
  <c r="T13" i="13" s="1"/>
  <c r="P59" i="35"/>
  <c r="S15" i="19"/>
  <c r="T15" i="19" s="1"/>
  <c r="P65" i="30"/>
  <c r="P52" i="34"/>
  <c r="T19" i="22"/>
  <c r="U19" i="22" s="1"/>
  <c r="P44" i="35"/>
  <c r="K80" i="35"/>
  <c r="K79" i="35"/>
  <c r="Z14" i="19"/>
  <c r="AA14" i="19" s="1"/>
  <c r="T17" i="25"/>
  <c r="U17" i="25" s="1"/>
  <c r="N47" i="33"/>
  <c r="P61" i="32"/>
  <c r="T18" i="11"/>
  <c r="U18" i="11" s="1"/>
  <c r="T16" i="25"/>
  <c r="U16" i="25" s="1"/>
  <c r="N47" i="32"/>
  <c r="AA42" i="25"/>
  <c r="AB42" i="25" s="1"/>
  <c r="AA17" i="25"/>
  <c r="AB17" i="25" s="1"/>
  <c r="AA22" i="25"/>
  <c r="AB22" i="25" s="1"/>
  <c r="T43" i="16"/>
  <c r="U43" i="16" s="1"/>
  <c r="T21" i="16"/>
  <c r="U21" i="16" s="1"/>
  <c r="M46" i="32"/>
  <c r="I79" i="32"/>
  <c r="W14" i="29"/>
  <c r="Y14" i="29" s="1"/>
  <c r="AA14" i="29" s="1"/>
  <c r="AB14" i="29" s="1"/>
  <c r="W18" i="29"/>
  <c r="Y18" i="29" s="1"/>
  <c r="AA18" i="29" s="1"/>
  <c r="AB18" i="29" s="1"/>
  <c r="W27" i="29"/>
  <c r="Y27" i="29" s="1"/>
  <c r="W26" i="29"/>
  <c r="Y26" i="29" s="1"/>
  <c r="W31" i="29"/>
  <c r="Y31" i="29" s="1"/>
  <c r="AA31" i="29" s="1"/>
  <c r="AB31" i="29" s="1"/>
  <c r="W23" i="29"/>
  <c r="Y23" i="29" s="1"/>
  <c r="W15" i="29"/>
  <c r="Y15" i="29" s="1"/>
  <c r="AA15" i="29" s="1"/>
  <c r="AB15" i="29" s="1"/>
  <c r="W16" i="29"/>
  <c r="Y16" i="29" s="1"/>
  <c r="AA16" i="29" s="1"/>
  <c r="AB16" i="29" s="1"/>
  <c r="W30" i="29"/>
  <c r="Y30" i="29" s="1"/>
  <c r="W35" i="29"/>
  <c r="Y35" i="29" s="1"/>
  <c r="W25" i="29"/>
  <c r="Y25" i="29" s="1"/>
  <c r="AA25" i="29" s="1"/>
  <c r="AB25" i="29" s="1"/>
  <c r="W17" i="29"/>
  <c r="Y17" i="29" s="1"/>
  <c r="W19" i="29"/>
  <c r="Y19" i="29" s="1"/>
  <c r="W33" i="29"/>
  <c r="Y33" i="29" s="1"/>
  <c r="AA33" i="29" s="1"/>
  <c r="AB33" i="29" s="1"/>
  <c r="W32" i="29"/>
  <c r="Y32" i="29" s="1"/>
  <c r="W34" i="29"/>
  <c r="Y34" i="29" s="1"/>
  <c r="AA34" i="29" s="1"/>
  <c r="AB34" i="29" s="1"/>
  <c r="W24" i="29"/>
  <c r="Y24" i="29" s="1"/>
  <c r="W22" i="29"/>
  <c r="Y22" i="29" s="1"/>
  <c r="N49" i="34"/>
  <c r="J85" i="34"/>
  <c r="J84" i="34"/>
  <c r="N56" i="30"/>
  <c r="J86" i="30"/>
  <c r="V24" i="1"/>
  <c r="W24" i="1" s="1"/>
  <c r="S24" i="1"/>
  <c r="T24" i="1" s="1"/>
  <c r="Z17" i="14"/>
  <c r="AA17" i="14" s="1"/>
  <c r="T52" i="16"/>
  <c r="U52" i="16" s="1"/>
  <c r="N37" i="1"/>
  <c r="T15" i="22"/>
  <c r="U15" i="22" s="1"/>
  <c r="P49" i="32"/>
  <c r="Z20" i="15"/>
  <c r="AA20" i="15" s="1"/>
  <c r="J27" i="1"/>
  <c r="K27" i="1" s="1"/>
  <c r="L27" i="1" s="1"/>
  <c r="M29" i="11"/>
  <c r="N29" i="11" s="1"/>
  <c r="N33" i="1"/>
  <c r="O33" i="1" s="1"/>
  <c r="P33" i="1" s="1"/>
  <c r="S22" i="15"/>
  <c r="T22" i="15" s="1"/>
  <c r="Z19" i="15"/>
  <c r="AA19" i="15" s="1"/>
  <c r="T36" i="22"/>
  <c r="U36" i="22" s="1"/>
  <c r="M28" i="22"/>
  <c r="N28" i="22" s="1"/>
  <c r="J94" i="1"/>
  <c r="K94" i="1" s="1"/>
  <c r="L94" i="1" s="1"/>
  <c r="P51" i="33"/>
  <c r="P64" i="30"/>
  <c r="N75" i="30"/>
  <c r="V26" i="23"/>
  <c r="X26" i="23" s="1"/>
  <c r="Z26" i="23" s="1"/>
  <c r="AA26" i="23" s="1"/>
  <c r="V30" i="23"/>
  <c r="X30" i="23" s="1"/>
  <c r="Z30" i="23" s="1"/>
  <c r="AA30" i="23" s="1"/>
  <c r="V25" i="23"/>
  <c r="X25" i="23" s="1"/>
  <c r="Z25" i="23" s="1"/>
  <c r="AA25" i="23" s="1"/>
  <c r="V29" i="23"/>
  <c r="X29" i="23" s="1"/>
  <c r="Z29" i="23" s="1"/>
  <c r="AA29" i="23" s="1"/>
  <c r="AA36" i="11"/>
  <c r="AB36" i="11" s="1"/>
  <c r="I18" i="27"/>
  <c r="K18" i="27" s="1"/>
  <c r="M18" i="27" s="1"/>
  <c r="N18" i="27" s="1"/>
  <c r="I36" i="27"/>
  <c r="K36" i="27" s="1"/>
  <c r="M36" i="27" s="1"/>
  <c r="N36" i="27" s="1"/>
  <c r="I19" i="27"/>
  <c r="K19" i="27" s="1"/>
  <c r="M19" i="27" s="1"/>
  <c r="N19" i="27" s="1"/>
  <c r="I20" i="27"/>
  <c r="K20" i="27" s="1"/>
  <c r="M20" i="27" s="1"/>
  <c r="N20" i="27" s="1"/>
  <c r="I16" i="27"/>
  <c r="K16" i="27" s="1"/>
  <c r="M16" i="27" s="1"/>
  <c r="N16" i="27" s="1"/>
  <c r="I35" i="27"/>
  <c r="K35" i="27" s="1"/>
  <c r="M35" i="27" s="1"/>
  <c r="N35" i="27" s="1"/>
  <c r="I38" i="27"/>
  <c r="K38" i="27" s="1"/>
  <c r="M38" i="27" s="1"/>
  <c r="N38" i="27" s="1"/>
  <c r="I39" i="27"/>
  <c r="K39" i="27" s="1"/>
  <c r="M39" i="27" s="1"/>
  <c r="N39" i="27" s="1"/>
  <c r="I30" i="27"/>
  <c r="K30" i="27" s="1"/>
  <c r="M30" i="27" s="1"/>
  <c r="N30" i="27" s="1"/>
  <c r="I22" i="27"/>
  <c r="K22" i="27" s="1"/>
  <c r="I37" i="27"/>
  <c r="K37" i="27" s="1"/>
  <c r="M37" i="27" s="1"/>
  <c r="N37" i="27" s="1"/>
  <c r="I32" i="27"/>
  <c r="K32" i="27" s="1"/>
  <c r="I17" i="27"/>
  <c r="K17" i="27" s="1"/>
  <c r="M17" i="27" s="1"/>
  <c r="N17" i="27" s="1"/>
  <c r="I15" i="27"/>
  <c r="K15" i="27" s="1"/>
  <c r="M15" i="27" s="1"/>
  <c r="N15" i="27" s="1"/>
  <c r="I28" i="27"/>
  <c r="K28" i="27" s="1"/>
  <c r="M28" i="27" s="1"/>
  <c r="N28" i="27" s="1"/>
  <c r="I42" i="27"/>
  <c r="K42" i="27" s="1"/>
  <c r="I27" i="27"/>
  <c r="K27" i="27" s="1"/>
  <c r="M27" i="27" s="1"/>
  <c r="N27" i="27" s="1"/>
  <c r="I29" i="27"/>
  <c r="K29" i="27" s="1"/>
  <c r="M29" i="27" s="1"/>
  <c r="N29" i="27" s="1"/>
  <c r="I31" i="27"/>
  <c r="K31" i="27" s="1"/>
  <c r="M31" i="27" s="1"/>
  <c r="N31" i="27" s="1"/>
  <c r="I41" i="27"/>
  <c r="K41" i="27" s="1"/>
  <c r="M41" i="27" s="1"/>
  <c r="N41" i="27" s="1"/>
  <c r="I25" i="27"/>
  <c r="K25" i="27" s="1"/>
  <c r="M25" i="27" s="1"/>
  <c r="N25" i="27" s="1"/>
  <c r="I26" i="27"/>
  <c r="K26" i="27" s="1"/>
  <c r="M26" i="27" s="1"/>
  <c r="N26" i="27" s="1"/>
  <c r="I40" i="27"/>
  <c r="K40" i="27" s="1"/>
  <c r="M40" i="27" s="1"/>
  <c r="N40" i="27" s="1"/>
  <c r="I21" i="27"/>
  <c r="K21" i="27" s="1"/>
  <c r="M21" i="27" s="1"/>
  <c r="N21" i="27" s="1"/>
  <c r="AA37" i="11"/>
  <c r="AB37" i="11" s="1"/>
  <c r="Z23" i="12"/>
  <c r="AA23" i="12" s="1"/>
  <c r="R30" i="1"/>
  <c r="P64" i="34"/>
  <c r="S26" i="23"/>
  <c r="T26" i="23" s="1"/>
  <c r="S19" i="14"/>
  <c r="T19" i="14" s="1"/>
  <c r="T24" i="17"/>
  <c r="U24" i="17" s="1"/>
  <c r="Z21" i="13"/>
  <c r="AA21" i="13" s="1"/>
  <c r="S13" i="21"/>
  <c r="T13" i="21" s="1"/>
  <c r="N61" i="33"/>
  <c r="S13" i="12"/>
  <c r="T13" i="12" s="1"/>
  <c r="W27" i="18"/>
  <c r="Y27" i="18" s="1"/>
  <c r="AA27" i="18" s="1"/>
  <c r="AB27" i="18" s="1"/>
  <c r="T38" i="11"/>
  <c r="U38" i="11" s="1"/>
  <c r="N28" i="1"/>
  <c r="S28" i="1" s="1"/>
  <c r="T28" i="1" s="1"/>
  <c r="S16" i="19"/>
  <c r="T16" i="19" s="1"/>
  <c r="N52" i="34"/>
  <c r="Z18" i="19"/>
  <c r="AA18" i="19" s="1"/>
  <c r="T31" i="25"/>
  <c r="U31" i="25" s="1"/>
  <c r="M39" i="16"/>
  <c r="N39" i="16" s="1"/>
  <c r="J36" i="1"/>
  <c r="K36" i="1" s="1"/>
  <c r="L36" i="1" s="1"/>
  <c r="M52" i="16"/>
  <c r="N52" i="16" s="1"/>
  <c r="J37" i="1"/>
  <c r="K37" i="1" s="1"/>
  <c r="L37" i="1" s="1"/>
  <c r="T47" i="25"/>
  <c r="U47" i="25" s="1"/>
  <c r="AA32" i="25"/>
  <c r="AB32" i="25" s="1"/>
  <c r="AA19" i="25"/>
  <c r="AB19" i="25" s="1"/>
  <c r="T44" i="16"/>
  <c r="U44" i="16" s="1"/>
  <c r="T49" i="16"/>
  <c r="U49" i="16" s="1"/>
  <c r="N46" i="32"/>
  <c r="J79" i="32"/>
  <c r="AA20" i="17" l="1"/>
  <c r="AB20" i="17" s="1"/>
  <c r="R39" i="1"/>
  <c r="M22" i="27"/>
  <c r="N22" i="27" s="1"/>
  <c r="J55" i="1"/>
  <c r="K55" i="1" s="1"/>
  <c r="L55" i="1" s="1"/>
  <c r="AA32" i="27"/>
  <c r="AB32" i="27" s="1"/>
  <c r="R56" i="1"/>
  <c r="M38" i="28"/>
  <c r="N38" i="28" s="1"/>
  <c r="J61" i="1"/>
  <c r="K61" i="1" s="1"/>
  <c r="L61" i="1" s="1"/>
  <c r="P26" i="33"/>
  <c r="R26" i="33" s="1"/>
  <c r="T26" i="33" s="1"/>
  <c r="U26" i="33" s="1"/>
  <c r="P33" i="33"/>
  <c r="R33" i="33" s="1"/>
  <c r="T33" i="33" s="1"/>
  <c r="U33" i="33" s="1"/>
  <c r="P28" i="33"/>
  <c r="R28" i="33" s="1"/>
  <c r="P36" i="33"/>
  <c r="R36" i="33" s="1"/>
  <c r="P23" i="33"/>
  <c r="R23" i="33" s="1"/>
  <c r="P25" i="33"/>
  <c r="R25" i="33" s="1"/>
  <c r="P35" i="33"/>
  <c r="R35" i="33" s="1"/>
  <c r="T35" i="33" s="1"/>
  <c r="U35" i="33" s="1"/>
  <c r="P20" i="33"/>
  <c r="R20" i="33" s="1"/>
  <c r="P24" i="33"/>
  <c r="R24" i="33" s="1"/>
  <c r="T24" i="33" s="1"/>
  <c r="U24" i="33" s="1"/>
  <c r="P18" i="33"/>
  <c r="R18" i="33" s="1"/>
  <c r="P32" i="33"/>
  <c r="R32" i="33" s="1"/>
  <c r="P34" i="33"/>
  <c r="R34" i="33" s="1"/>
  <c r="T34" i="33" s="1"/>
  <c r="U34" i="33" s="1"/>
  <c r="P31" i="33"/>
  <c r="R31" i="33" s="1"/>
  <c r="P27" i="33"/>
  <c r="R27" i="33" s="1"/>
  <c r="T27" i="33" s="1"/>
  <c r="U27" i="33" s="1"/>
  <c r="P19" i="33"/>
  <c r="R19" i="33" s="1"/>
  <c r="T19" i="33" s="1"/>
  <c r="U19" i="33" s="1"/>
  <c r="P15" i="33"/>
  <c r="R15" i="33" s="1"/>
  <c r="T15" i="33" s="1"/>
  <c r="U15" i="33" s="1"/>
  <c r="P17" i="33"/>
  <c r="R17" i="33" s="1"/>
  <c r="P16" i="33"/>
  <c r="R16" i="33" s="1"/>
  <c r="T16" i="33" s="1"/>
  <c r="U16" i="33" s="1"/>
  <c r="AA18" i="26"/>
  <c r="AB18" i="26" s="1"/>
  <c r="AA30" i="27"/>
  <c r="AB30" i="27" s="1"/>
  <c r="AA32" i="24"/>
  <c r="AB32" i="24" s="1"/>
  <c r="T45" i="31"/>
  <c r="U45" i="31" s="1"/>
  <c r="AA28" i="26"/>
  <c r="AB28" i="26" s="1"/>
  <c r="AA38" i="24"/>
  <c r="AB38" i="24" s="1"/>
  <c r="R44" i="1"/>
  <c r="W34" i="35"/>
  <c r="Y34" i="35" s="1"/>
  <c r="AA34" i="35" s="1"/>
  <c r="AB34" i="35" s="1"/>
  <c r="W18" i="35"/>
  <c r="Y18" i="35" s="1"/>
  <c r="AA18" i="35" s="1"/>
  <c r="AB18" i="35" s="1"/>
  <c r="W17" i="35"/>
  <c r="Y17" i="35" s="1"/>
  <c r="AA17" i="35" s="1"/>
  <c r="AB17" i="35" s="1"/>
  <c r="W26" i="35"/>
  <c r="Y26" i="35" s="1"/>
  <c r="W15" i="35"/>
  <c r="Y15" i="35" s="1"/>
  <c r="W19" i="35"/>
  <c r="Y19" i="35" s="1"/>
  <c r="W35" i="35"/>
  <c r="Y35" i="35" s="1"/>
  <c r="W31" i="35"/>
  <c r="Y31" i="35" s="1"/>
  <c r="W30" i="35"/>
  <c r="Y30" i="35" s="1"/>
  <c r="W24" i="35"/>
  <c r="Y24" i="35" s="1"/>
  <c r="W22" i="35"/>
  <c r="Y22" i="35" s="1"/>
  <c r="AA22" i="35" s="1"/>
  <c r="AB22" i="35" s="1"/>
  <c r="W33" i="35"/>
  <c r="Y33" i="35" s="1"/>
  <c r="W27" i="35"/>
  <c r="Y27" i="35" s="1"/>
  <c r="W23" i="35"/>
  <c r="Y23" i="35" s="1"/>
  <c r="AA23" i="35" s="1"/>
  <c r="AB23" i="35" s="1"/>
  <c r="W32" i="35"/>
  <c r="Y32" i="35" s="1"/>
  <c r="AA32" i="35" s="1"/>
  <c r="AB32" i="35" s="1"/>
  <c r="W25" i="35"/>
  <c r="Y25" i="35" s="1"/>
  <c r="W16" i="35"/>
  <c r="Y16" i="35" s="1"/>
  <c r="W14" i="35"/>
  <c r="Y14" i="35" s="1"/>
  <c r="I24" i="33"/>
  <c r="K24" i="33" s="1"/>
  <c r="M24" i="33" s="1"/>
  <c r="N24" i="33" s="1"/>
  <c r="I28" i="33"/>
  <c r="K28" i="33" s="1"/>
  <c r="I34" i="33"/>
  <c r="K34" i="33" s="1"/>
  <c r="M34" i="33" s="1"/>
  <c r="N34" i="33" s="1"/>
  <c r="I35" i="33"/>
  <c r="K35" i="33" s="1"/>
  <c r="M35" i="33" s="1"/>
  <c r="N35" i="33" s="1"/>
  <c r="I23" i="33"/>
  <c r="K23" i="33" s="1"/>
  <c r="M23" i="33" s="1"/>
  <c r="N23" i="33" s="1"/>
  <c r="I36" i="33"/>
  <c r="K36" i="33" s="1"/>
  <c r="I32" i="33"/>
  <c r="K32" i="33" s="1"/>
  <c r="M32" i="33" s="1"/>
  <c r="N32" i="33" s="1"/>
  <c r="I31" i="33"/>
  <c r="K31" i="33" s="1"/>
  <c r="M31" i="33" s="1"/>
  <c r="N31" i="33" s="1"/>
  <c r="I25" i="33"/>
  <c r="K25" i="33" s="1"/>
  <c r="M25" i="33" s="1"/>
  <c r="N25" i="33" s="1"/>
  <c r="I16" i="33"/>
  <c r="K16" i="33" s="1"/>
  <c r="M16" i="33" s="1"/>
  <c r="N16" i="33" s="1"/>
  <c r="I18" i="33"/>
  <c r="K18" i="33" s="1"/>
  <c r="M18" i="33" s="1"/>
  <c r="N18" i="33" s="1"/>
  <c r="I19" i="33"/>
  <c r="K19" i="33" s="1"/>
  <c r="M19" i="33" s="1"/>
  <c r="N19" i="33" s="1"/>
  <c r="I15" i="33"/>
  <c r="K15" i="33" s="1"/>
  <c r="M15" i="33" s="1"/>
  <c r="N15" i="33" s="1"/>
  <c r="I26" i="33"/>
  <c r="K26" i="33" s="1"/>
  <c r="M26" i="33" s="1"/>
  <c r="N26" i="33" s="1"/>
  <c r="I20" i="33"/>
  <c r="K20" i="33" s="1"/>
  <c r="I27" i="33"/>
  <c r="K27" i="33" s="1"/>
  <c r="M27" i="33" s="1"/>
  <c r="N27" i="33" s="1"/>
  <c r="I17" i="33"/>
  <c r="K17" i="33" s="1"/>
  <c r="M17" i="33" s="1"/>
  <c r="N17" i="33" s="1"/>
  <c r="I33" i="33"/>
  <c r="K33" i="33" s="1"/>
  <c r="M33" i="33" s="1"/>
  <c r="N33" i="33" s="1"/>
  <c r="W19" i="34"/>
  <c r="Y19" i="34" s="1"/>
  <c r="AA19" i="34" s="1"/>
  <c r="AB19" i="34" s="1"/>
  <c r="W25" i="34"/>
  <c r="Y25" i="34" s="1"/>
  <c r="AA25" i="34" s="1"/>
  <c r="AB25" i="34" s="1"/>
  <c r="W23" i="34"/>
  <c r="Y23" i="34" s="1"/>
  <c r="AA23" i="34" s="1"/>
  <c r="AB23" i="34" s="1"/>
  <c r="W36" i="34"/>
  <c r="Y36" i="34" s="1"/>
  <c r="W26" i="34"/>
  <c r="Y26" i="34" s="1"/>
  <c r="W29" i="34"/>
  <c r="Y29" i="34" s="1"/>
  <c r="W32" i="34"/>
  <c r="Y32" i="34" s="1"/>
  <c r="W28" i="34"/>
  <c r="Y28" i="34" s="1"/>
  <c r="W34" i="34"/>
  <c r="Y34" i="34" s="1"/>
  <c r="W17" i="34"/>
  <c r="Y17" i="34" s="1"/>
  <c r="AA17" i="34" s="1"/>
  <c r="AB17" i="34" s="1"/>
  <c r="W35" i="34"/>
  <c r="Y35" i="34" s="1"/>
  <c r="AA35" i="34" s="1"/>
  <c r="AB35" i="34" s="1"/>
  <c r="W16" i="34"/>
  <c r="Y16" i="34" s="1"/>
  <c r="AA16" i="34" s="1"/>
  <c r="AB16" i="34" s="1"/>
  <c r="W18" i="34"/>
  <c r="Y18" i="34" s="1"/>
  <c r="AA18" i="34" s="1"/>
  <c r="AB18" i="34" s="1"/>
  <c r="W14" i="34"/>
  <c r="Y14" i="34" s="1"/>
  <c r="AA14" i="34" s="1"/>
  <c r="AB14" i="34" s="1"/>
  <c r="W33" i="34"/>
  <c r="Y33" i="34" s="1"/>
  <c r="AA33" i="34" s="1"/>
  <c r="AB33" i="34" s="1"/>
  <c r="W27" i="34"/>
  <c r="Y27" i="34" s="1"/>
  <c r="W15" i="34"/>
  <c r="Y15" i="34" s="1"/>
  <c r="W24" i="34"/>
  <c r="Y24" i="34" s="1"/>
  <c r="W20" i="34"/>
  <c r="Y20" i="34" s="1"/>
  <c r="W37" i="34"/>
  <c r="Y37" i="34" s="1"/>
  <c r="W38" i="34"/>
  <c r="Y38" i="34" s="1"/>
  <c r="AA22" i="27"/>
  <c r="AB22" i="27" s="1"/>
  <c r="R55" i="1"/>
  <c r="O47" i="1"/>
  <c r="P47" i="1" s="1"/>
  <c r="T28" i="24"/>
  <c r="U28" i="24" s="1"/>
  <c r="M29" i="28"/>
  <c r="N29" i="28" s="1"/>
  <c r="J60" i="1"/>
  <c r="K60" i="1" s="1"/>
  <c r="L60" i="1" s="1"/>
  <c r="T46" i="24"/>
  <c r="U46" i="24" s="1"/>
  <c r="T38" i="28"/>
  <c r="U38" i="28" s="1"/>
  <c r="N61" i="1"/>
  <c r="AA20" i="31"/>
  <c r="AB20" i="31" s="1"/>
  <c r="Z21" i="23"/>
  <c r="AA21" i="23" s="1"/>
  <c r="R97" i="1"/>
  <c r="V28" i="23"/>
  <c r="X28" i="23" s="1"/>
  <c r="Z28" i="23" s="1"/>
  <c r="AA28" i="23" s="1"/>
  <c r="AA31" i="27"/>
  <c r="AB31" i="27" s="1"/>
  <c r="AA15" i="27"/>
  <c r="AB15" i="27" s="1"/>
  <c r="T25" i="28"/>
  <c r="U25" i="28" s="1"/>
  <c r="M24" i="31"/>
  <c r="N24" i="31" s="1"/>
  <c r="J67" i="1"/>
  <c r="K67" i="1" s="1"/>
  <c r="L67" i="1" s="1"/>
  <c r="AA42" i="27"/>
  <c r="AB42" i="27" s="1"/>
  <c r="R57" i="1"/>
  <c r="AA41" i="31"/>
  <c r="AB41" i="31" s="1"/>
  <c r="W33" i="30"/>
  <c r="Y33" i="30" s="1"/>
  <c r="W43" i="30"/>
  <c r="Y43" i="30" s="1"/>
  <c r="W36" i="30"/>
  <c r="Y36" i="30" s="1"/>
  <c r="W45" i="30"/>
  <c r="Y45" i="30" s="1"/>
  <c r="W23" i="30"/>
  <c r="Y23" i="30" s="1"/>
  <c r="W28" i="30"/>
  <c r="Y28" i="30" s="1"/>
  <c r="W32" i="30"/>
  <c r="Y32" i="30" s="1"/>
  <c r="AA32" i="30" s="1"/>
  <c r="AB32" i="30" s="1"/>
  <c r="W47" i="30"/>
  <c r="Y47" i="30" s="1"/>
  <c r="W48" i="30"/>
  <c r="Y48" i="30" s="1"/>
  <c r="W31" i="30"/>
  <c r="Y31" i="30" s="1"/>
  <c r="W44" i="30"/>
  <c r="Y44" i="30" s="1"/>
  <c r="W30" i="30"/>
  <c r="Y30" i="30" s="1"/>
  <c r="W17" i="30"/>
  <c r="Y17" i="30" s="1"/>
  <c r="W21" i="30"/>
  <c r="Y21" i="30" s="1"/>
  <c r="AA21" i="30" s="1"/>
  <c r="AB21" i="30" s="1"/>
  <c r="W35" i="30"/>
  <c r="Y35" i="30" s="1"/>
  <c r="W46" i="30"/>
  <c r="Y46" i="30" s="1"/>
  <c r="W42" i="30"/>
  <c r="Y42" i="30" s="1"/>
  <c r="AA42" i="30" s="1"/>
  <c r="AB42" i="30" s="1"/>
  <c r="W39" i="30"/>
  <c r="Y39" i="30" s="1"/>
  <c r="AA39" i="30" s="1"/>
  <c r="AB39" i="30" s="1"/>
  <c r="W27" i="30"/>
  <c r="Y27" i="30" s="1"/>
  <c r="AA27" i="30" s="1"/>
  <c r="AB27" i="30" s="1"/>
  <c r="W41" i="30"/>
  <c r="Y41" i="30" s="1"/>
  <c r="AA41" i="30" s="1"/>
  <c r="AB41" i="30" s="1"/>
  <c r="W19" i="30"/>
  <c r="Y19" i="30" s="1"/>
  <c r="AA19" i="30" s="1"/>
  <c r="AB19" i="30" s="1"/>
  <c r="W18" i="30"/>
  <c r="Y18" i="30" s="1"/>
  <c r="W20" i="30"/>
  <c r="Y20" i="30" s="1"/>
  <c r="W24" i="30"/>
  <c r="Y24" i="30" s="1"/>
  <c r="W29" i="30"/>
  <c r="Y29" i="30" s="1"/>
  <c r="W15" i="30"/>
  <c r="Y15" i="30" s="1"/>
  <c r="AA15" i="30" s="1"/>
  <c r="AB15" i="30" s="1"/>
  <c r="W40" i="30"/>
  <c r="Y40" i="30" s="1"/>
  <c r="W22" i="30"/>
  <c r="Y22" i="30" s="1"/>
  <c r="W16" i="30"/>
  <c r="Y16" i="30" s="1"/>
  <c r="AA16" i="30" s="1"/>
  <c r="AB16" i="30" s="1"/>
  <c r="W34" i="30"/>
  <c r="Y34" i="30" s="1"/>
  <c r="AA34" i="30" s="1"/>
  <c r="AB34" i="30" s="1"/>
  <c r="AA16" i="28"/>
  <c r="AB16" i="28" s="1"/>
  <c r="AA23" i="28"/>
  <c r="AB23" i="28" s="1"/>
  <c r="M42" i="26"/>
  <c r="N42" i="26" s="1"/>
  <c r="J53" i="1"/>
  <c r="K53" i="1" s="1"/>
  <c r="L53" i="1" s="1"/>
  <c r="T18" i="31"/>
  <c r="U18" i="31" s="1"/>
  <c r="T15" i="31"/>
  <c r="U15" i="31" s="1"/>
  <c r="T30" i="31"/>
  <c r="U30" i="31" s="1"/>
  <c r="T15" i="26"/>
  <c r="U15" i="26" s="1"/>
  <c r="T41" i="26"/>
  <c r="U41" i="26" s="1"/>
  <c r="T40" i="27"/>
  <c r="U40" i="27" s="1"/>
  <c r="T37" i="27"/>
  <c r="U37" i="27" s="1"/>
  <c r="V31" i="1"/>
  <c r="W31" i="1" s="1"/>
  <c r="S31" i="1"/>
  <c r="T31" i="1" s="1"/>
  <c r="O26" i="1"/>
  <c r="P26" i="1" s="1"/>
  <c r="AA42" i="24"/>
  <c r="AB42" i="24" s="1"/>
  <c r="AA25" i="24"/>
  <c r="AB25" i="24" s="1"/>
  <c r="R43" i="1"/>
  <c r="AA24" i="24"/>
  <c r="AB24" i="24" s="1"/>
  <c r="AA17" i="29"/>
  <c r="AB17" i="29" s="1"/>
  <c r="P29" i="30"/>
  <c r="R29" i="30" s="1"/>
  <c r="P48" i="30"/>
  <c r="R48" i="30" s="1"/>
  <c r="P45" i="30"/>
  <c r="R45" i="30" s="1"/>
  <c r="P44" i="30"/>
  <c r="R44" i="30" s="1"/>
  <c r="P41" i="30"/>
  <c r="R41" i="30" s="1"/>
  <c r="P40" i="30"/>
  <c r="R40" i="30" s="1"/>
  <c r="T40" i="30" s="1"/>
  <c r="U40" i="30" s="1"/>
  <c r="P28" i="30"/>
  <c r="R28" i="30" s="1"/>
  <c r="T28" i="30" s="1"/>
  <c r="U28" i="30" s="1"/>
  <c r="P47" i="30"/>
  <c r="R47" i="30" s="1"/>
  <c r="T47" i="30" s="1"/>
  <c r="U47" i="30" s="1"/>
  <c r="P39" i="30"/>
  <c r="R39" i="30" s="1"/>
  <c r="P21" i="30"/>
  <c r="R21" i="30" s="1"/>
  <c r="P42" i="30"/>
  <c r="R42" i="30" s="1"/>
  <c r="P15" i="30"/>
  <c r="R15" i="30" s="1"/>
  <c r="T15" i="30" s="1"/>
  <c r="U15" i="30" s="1"/>
  <c r="P19" i="30"/>
  <c r="R19" i="30" s="1"/>
  <c r="P32" i="30"/>
  <c r="R32" i="30" s="1"/>
  <c r="P46" i="30"/>
  <c r="R46" i="30" s="1"/>
  <c r="T46" i="30" s="1"/>
  <c r="U46" i="30" s="1"/>
  <c r="P20" i="30"/>
  <c r="R20" i="30" s="1"/>
  <c r="P30" i="30"/>
  <c r="R30" i="30" s="1"/>
  <c r="T30" i="30" s="1"/>
  <c r="U30" i="30" s="1"/>
  <c r="P33" i="30"/>
  <c r="R33" i="30" s="1"/>
  <c r="T33" i="30" s="1"/>
  <c r="U33" i="30" s="1"/>
  <c r="P31" i="30"/>
  <c r="R31" i="30" s="1"/>
  <c r="T31" i="30" s="1"/>
  <c r="U31" i="30" s="1"/>
  <c r="P18" i="30"/>
  <c r="R18" i="30" s="1"/>
  <c r="T18" i="30" s="1"/>
  <c r="U18" i="30" s="1"/>
  <c r="P27" i="30"/>
  <c r="R27" i="30" s="1"/>
  <c r="P24" i="30"/>
  <c r="R24" i="30" s="1"/>
  <c r="P35" i="30"/>
  <c r="R35" i="30" s="1"/>
  <c r="T35" i="30" s="1"/>
  <c r="U35" i="30" s="1"/>
  <c r="P16" i="30"/>
  <c r="R16" i="30" s="1"/>
  <c r="P22" i="30"/>
  <c r="R22" i="30" s="1"/>
  <c r="T22" i="30" s="1"/>
  <c r="U22" i="30" s="1"/>
  <c r="P36" i="30"/>
  <c r="R36" i="30" s="1"/>
  <c r="P34" i="30"/>
  <c r="R34" i="30" s="1"/>
  <c r="P23" i="30"/>
  <c r="R23" i="30" s="1"/>
  <c r="T23" i="30" s="1"/>
  <c r="U23" i="30" s="1"/>
  <c r="P17" i="30"/>
  <c r="R17" i="30" s="1"/>
  <c r="T17" i="30" s="1"/>
  <c r="U17" i="30" s="1"/>
  <c r="P43" i="30"/>
  <c r="R43" i="30" s="1"/>
  <c r="T43" i="30" s="1"/>
  <c r="U43" i="30" s="1"/>
  <c r="AA39" i="16"/>
  <c r="AB39" i="16" s="1"/>
  <c r="R36" i="1"/>
  <c r="T42" i="26"/>
  <c r="U42" i="26" s="1"/>
  <c r="N53" i="1"/>
  <c r="O53" i="1" s="1"/>
  <c r="P53" i="1" s="1"/>
  <c r="AA22" i="24"/>
  <c r="AB22" i="24" s="1"/>
  <c r="P33" i="32"/>
  <c r="R33" i="32" s="1"/>
  <c r="T33" i="32" s="1"/>
  <c r="U33" i="32" s="1"/>
  <c r="P20" i="32"/>
  <c r="R20" i="32" s="1"/>
  <c r="P16" i="32"/>
  <c r="R16" i="32" s="1"/>
  <c r="P28" i="32"/>
  <c r="R28" i="32" s="1"/>
  <c r="P15" i="32"/>
  <c r="R15" i="32" s="1"/>
  <c r="T15" i="32" s="1"/>
  <c r="U15" i="32" s="1"/>
  <c r="P27" i="32"/>
  <c r="R27" i="32" s="1"/>
  <c r="T27" i="32" s="1"/>
  <c r="U27" i="32" s="1"/>
  <c r="P19" i="32"/>
  <c r="R19" i="32" s="1"/>
  <c r="P24" i="32"/>
  <c r="R24" i="32" s="1"/>
  <c r="T24" i="32" s="1"/>
  <c r="U24" i="32" s="1"/>
  <c r="P17" i="32"/>
  <c r="R17" i="32" s="1"/>
  <c r="T17" i="32" s="1"/>
  <c r="U17" i="32" s="1"/>
  <c r="P35" i="32"/>
  <c r="R35" i="32" s="1"/>
  <c r="P26" i="32"/>
  <c r="R26" i="32" s="1"/>
  <c r="P29" i="32"/>
  <c r="R29" i="32" s="1"/>
  <c r="P25" i="32"/>
  <c r="R25" i="32" s="1"/>
  <c r="P34" i="32"/>
  <c r="R34" i="32" s="1"/>
  <c r="P37" i="32"/>
  <c r="R37" i="32" s="1"/>
  <c r="P23" i="32"/>
  <c r="R23" i="32" s="1"/>
  <c r="P36" i="32"/>
  <c r="R36" i="32" s="1"/>
  <c r="T36" i="32" s="1"/>
  <c r="U36" i="32" s="1"/>
  <c r="P14" i="32"/>
  <c r="R14" i="32" s="1"/>
  <c r="T14" i="32" s="1"/>
  <c r="U14" i="32" s="1"/>
  <c r="P38" i="32"/>
  <c r="R38" i="32" s="1"/>
  <c r="P18" i="32"/>
  <c r="R18" i="32" s="1"/>
  <c r="P32" i="32"/>
  <c r="R32" i="32" s="1"/>
  <c r="T32" i="32" s="1"/>
  <c r="U32" i="32" s="1"/>
  <c r="T20" i="26"/>
  <c r="U20" i="26" s="1"/>
  <c r="M19" i="29"/>
  <c r="N19" i="29" s="1"/>
  <c r="J100" i="1"/>
  <c r="K100" i="1" s="1"/>
  <c r="L100" i="1" s="1"/>
  <c r="T34" i="28"/>
  <c r="U34" i="28" s="1"/>
  <c r="T41" i="31"/>
  <c r="U41" i="31" s="1"/>
  <c r="V30" i="1"/>
  <c r="W30" i="1" s="1"/>
  <c r="S30" i="1"/>
  <c r="T30" i="1" s="1"/>
  <c r="V27" i="23"/>
  <c r="X27" i="23" s="1"/>
  <c r="Z27" i="23" s="1"/>
  <c r="AA27" i="23" s="1"/>
  <c r="T37" i="24"/>
  <c r="U37" i="24" s="1"/>
  <c r="T18" i="29"/>
  <c r="U18" i="29" s="1"/>
  <c r="T14" i="28"/>
  <c r="U14" i="28" s="1"/>
  <c r="T29" i="28"/>
  <c r="U29" i="28" s="1"/>
  <c r="N60" i="1"/>
  <c r="AA36" i="27"/>
  <c r="AB36" i="27" s="1"/>
  <c r="AA35" i="31"/>
  <c r="AB35" i="31" s="1"/>
  <c r="AA38" i="28"/>
  <c r="AB38" i="28" s="1"/>
  <c r="R61" i="1"/>
  <c r="T33" i="31"/>
  <c r="U33" i="31" s="1"/>
  <c r="T32" i="31"/>
  <c r="U32" i="31" s="1"/>
  <c r="T44" i="31"/>
  <c r="U44" i="31" s="1"/>
  <c r="T19" i="26"/>
  <c r="U19" i="26" s="1"/>
  <c r="T21" i="26"/>
  <c r="U21" i="26" s="1"/>
  <c r="AA29" i="26"/>
  <c r="AB29" i="26" s="1"/>
  <c r="AA26" i="26"/>
  <c r="AB26" i="26" s="1"/>
  <c r="T42" i="27"/>
  <c r="U42" i="27" s="1"/>
  <c r="N57" i="1"/>
  <c r="T20" i="27"/>
  <c r="U20" i="27" s="1"/>
  <c r="AA43" i="24"/>
  <c r="AB43" i="24" s="1"/>
  <c r="AA35" i="24"/>
  <c r="AB35" i="24" s="1"/>
  <c r="AA36" i="24"/>
  <c r="AB36" i="24" s="1"/>
  <c r="V33" i="1"/>
  <c r="W33" i="1" s="1"/>
  <c r="S33" i="1"/>
  <c r="T33" i="1" s="1"/>
  <c r="AA19" i="29"/>
  <c r="AB19" i="29" s="1"/>
  <c r="R100" i="1"/>
  <c r="M35" i="29"/>
  <c r="N35" i="29" s="1"/>
  <c r="J102" i="1"/>
  <c r="K102" i="1" s="1"/>
  <c r="L102" i="1" s="1"/>
  <c r="O93" i="1"/>
  <c r="P93" i="1" s="1"/>
  <c r="P36" i="34"/>
  <c r="R36" i="34" s="1"/>
  <c r="P35" i="34"/>
  <c r="R35" i="34" s="1"/>
  <c r="P34" i="34"/>
  <c r="R34" i="34" s="1"/>
  <c r="P19" i="34"/>
  <c r="R19" i="34" s="1"/>
  <c r="P16" i="34"/>
  <c r="R16" i="34" s="1"/>
  <c r="P29" i="34"/>
  <c r="R29" i="34" s="1"/>
  <c r="P28" i="34"/>
  <c r="R28" i="34" s="1"/>
  <c r="T28" i="34" s="1"/>
  <c r="U28" i="34" s="1"/>
  <c r="P26" i="34"/>
  <c r="R26" i="34" s="1"/>
  <c r="T26" i="34" s="1"/>
  <c r="U26" i="34" s="1"/>
  <c r="P27" i="34"/>
  <c r="R27" i="34" s="1"/>
  <c r="P23" i="34"/>
  <c r="R23" i="34" s="1"/>
  <c r="T23" i="34" s="1"/>
  <c r="U23" i="34" s="1"/>
  <c r="P32" i="34"/>
  <c r="R32" i="34" s="1"/>
  <c r="T32" i="34" s="1"/>
  <c r="U32" i="34" s="1"/>
  <c r="P33" i="34"/>
  <c r="R33" i="34" s="1"/>
  <c r="P18" i="34"/>
  <c r="R18" i="34" s="1"/>
  <c r="T18" i="34" s="1"/>
  <c r="U18" i="34" s="1"/>
  <c r="P24" i="34"/>
  <c r="R24" i="34" s="1"/>
  <c r="P25" i="34"/>
  <c r="R25" i="34" s="1"/>
  <c r="P15" i="34"/>
  <c r="R15" i="34" s="1"/>
  <c r="P17" i="34"/>
  <c r="R17" i="34" s="1"/>
  <c r="P14" i="34"/>
  <c r="R14" i="34" s="1"/>
  <c r="P20" i="34"/>
  <c r="R20" i="34" s="1"/>
  <c r="P38" i="34"/>
  <c r="R38" i="34" s="1"/>
  <c r="P37" i="34"/>
  <c r="R37" i="34" s="1"/>
  <c r="T34" i="24"/>
  <c r="U34" i="24" s="1"/>
  <c r="T23" i="28"/>
  <c r="U23" i="28" s="1"/>
  <c r="T29" i="27"/>
  <c r="U29" i="27" s="1"/>
  <c r="O28" i="1"/>
  <c r="P28" i="1" s="1"/>
  <c r="T42" i="24"/>
  <c r="U42" i="24" s="1"/>
  <c r="T19" i="29"/>
  <c r="U19" i="29" s="1"/>
  <c r="N100" i="1"/>
  <c r="O100" i="1" s="1"/>
  <c r="P100" i="1" s="1"/>
  <c r="O36" i="1"/>
  <c r="P36" i="1" s="1"/>
  <c r="T20" i="28"/>
  <c r="U20" i="28" s="1"/>
  <c r="N59" i="1"/>
  <c r="T28" i="28"/>
  <c r="U28" i="28" s="1"/>
  <c r="AA26" i="16"/>
  <c r="AB26" i="16" s="1"/>
  <c r="R35" i="1"/>
  <c r="M36" i="31"/>
  <c r="N36" i="31" s="1"/>
  <c r="J68" i="1"/>
  <c r="K68" i="1" s="1"/>
  <c r="L68" i="1" s="1"/>
  <c r="V87" i="1"/>
  <c r="W87" i="1" s="1"/>
  <c r="S87" i="1"/>
  <c r="T87" i="1" s="1"/>
  <c r="AA25" i="27"/>
  <c r="AB25" i="27" s="1"/>
  <c r="AA42" i="31"/>
  <c r="AB42" i="31" s="1"/>
  <c r="AA40" i="31"/>
  <c r="AB40" i="31" s="1"/>
  <c r="AA20" i="28"/>
  <c r="AB20" i="28" s="1"/>
  <c r="R59" i="1"/>
  <c r="T47" i="31"/>
  <c r="U47" i="31" s="1"/>
  <c r="T22" i="31"/>
  <c r="U22" i="31" s="1"/>
  <c r="T19" i="31"/>
  <c r="U19" i="31" s="1"/>
  <c r="T36" i="26"/>
  <c r="U36" i="26" s="1"/>
  <c r="AA30" i="26"/>
  <c r="AB30" i="26" s="1"/>
  <c r="T41" i="27"/>
  <c r="U41" i="27" s="1"/>
  <c r="T16" i="27"/>
  <c r="U16" i="27" s="1"/>
  <c r="O39" i="1"/>
  <c r="P39" i="1" s="1"/>
  <c r="AA48" i="24"/>
  <c r="AB48" i="24" s="1"/>
  <c r="AA16" i="24"/>
  <c r="AB16" i="24" s="1"/>
  <c r="AA33" i="24"/>
  <c r="AB33" i="24" s="1"/>
  <c r="M48" i="31"/>
  <c r="N48" i="31" s="1"/>
  <c r="J69" i="1"/>
  <c r="K69" i="1" s="1"/>
  <c r="L69" i="1" s="1"/>
  <c r="O31" i="1"/>
  <c r="P31" i="1" s="1"/>
  <c r="T51" i="24"/>
  <c r="U51" i="24" s="1"/>
  <c r="N45" i="1"/>
  <c r="O45" i="1" s="1"/>
  <c r="P45" i="1" s="1"/>
  <c r="T38" i="27"/>
  <c r="U38" i="27" s="1"/>
  <c r="AA35" i="29"/>
  <c r="AB35" i="29" s="1"/>
  <c r="R102" i="1"/>
  <c r="T16" i="28"/>
  <c r="U16" i="28" s="1"/>
  <c r="W27" i="33"/>
  <c r="Y27" i="33" s="1"/>
  <c r="W15" i="33"/>
  <c r="Y15" i="33" s="1"/>
  <c r="W23" i="33"/>
  <c r="Y23" i="33" s="1"/>
  <c r="AA23" i="33" s="1"/>
  <c r="AB23" i="33" s="1"/>
  <c r="W28" i="33"/>
  <c r="Y28" i="33" s="1"/>
  <c r="W32" i="33"/>
  <c r="Y32" i="33" s="1"/>
  <c r="AA32" i="33" s="1"/>
  <c r="AB32" i="33" s="1"/>
  <c r="W24" i="33"/>
  <c r="Y24" i="33" s="1"/>
  <c r="AA24" i="33" s="1"/>
  <c r="AB24" i="33" s="1"/>
  <c r="W26" i="33"/>
  <c r="Y26" i="33" s="1"/>
  <c r="AA26" i="33" s="1"/>
  <c r="AB26" i="33" s="1"/>
  <c r="W18" i="33"/>
  <c r="Y18" i="33" s="1"/>
  <c r="AA18" i="33" s="1"/>
  <c r="AB18" i="33" s="1"/>
  <c r="W20" i="33"/>
  <c r="Y20" i="33" s="1"/>
  <c r="W36" i="33"/>
  <c r="Y36" i="33" s="1"/>
  <c r="W33" i="33"/>
  <c r="Y33" i="33" s="1"/>
  <c r="W31" i="33"/>
  <c r="Y31" i="33" s="1"/>
  <c r="W25" i="33"/>
  <c r="Y25" i="33" s="1"/>
  <c r="AA25" i="33" s="1"/>
  <c r="AB25" i="33" s="1"/>
  <c r="W16" i="33"/>
  <c r="Y16" i="33" s="1"/>
  <c r="W35" i="33"/>
  <c r="Y35" i="33" s="1"/>
  <c r="AA35" i="33" s="1"/>
  <c r="AB35" i="33" s="1"/>
  <c r="W34" i="33"/>
  <c r="Y34" i="33" s="1"/>
  <c r="AA34" i="33" s="1"/>
  <c r="AB34" i="33" s="1"/>
  <c r="W19" i="33"/>
  <c r="Y19" i="33" s="1"/>
  <c r="W17" i="33"/>
  <c r="Y17" i="33" s="1"/>
  <c r="AA17" i="33" s="1"/>
  <c r="AB17" i="33" s="1"/>
  <c r="T39" i="26"/>
  <c r="U39" i="26" s="1"/>
  <c r="AA20" i="24"/>
  <c r="AB20" i="24" s="1"/>
  <c r="V32" i="23"/>
  <c r="X32" i="23" s="1"/>
  <c r="Z32" i="23" s="1"/>
  <c r="AA32" i="23" s="1"/>
  <c r="T41" i="24"/>
  <c r="U41" i="24" s="1"/>
  <c r="T27" i="29"/>
  <c r="U27" i="29" s="1"/>
  <c r="N101" i="1"/>
  <c r="AA27" i="27"/>
  <c r="AB27" i="27" s="1"/>
  <c r="AA41" i="24"/>
  <c r="AB41" i="24" s="1"/>
  <c r="AA44" i="24"/>
  <c r="AB44" i="24" s="1"/>
  <c r="M42" i="27"/>
  <c r="N42" i="27" s="1"/>
  <c r="J57" i="1"/>
  <c r="K57" i="1" s="1"/>
  <c r="L57" i="1" s="1"/>
  <c r="V33" i="23"/>
  <c r="X33" i="23" s="1"/>
  <c r="O41" i="1"/>
  <c r="P41" i="1" s="1"/>
  <c r="T38" i="24"/>
  <c r="U38" i="24" s="1"/>
  <c r="N44" i="1"/>
  <c r="AA20" i="18"/>
  <c r="AB20" i="18" s="1"/>
  <c r="R83" i="1"/>
  <c r="AA38" i="17"/>
  <c r="AB38" i="17" s="1"/>
  <c r="R41" i="1"/>
  <c r="M25" i="24"/>
  <c r="N25" i="24" s="1"/>
  <c r="J43" i="1"/>
  <c r="K43" i="1" s="1"/>
  <c r="L43" i="1" s="1"/>
  <c r="T26" i="29"/>
  <c r="U26" i="29" s="1"/>
  <c r="T27" i="28"/>
  <c r="U27" i="28" s="1"/>
  <c r="T19" i="28"/>
  <c r="U19" i="28" s="1"/>
  <c r="O32" i="1"/>
  <c r="P32" i="1" s="1"/>
  <c r="AA28" i="18"/>
  <c r="AB28" i="18" s="1"/>
  <c r="R84" i="1"/>
  <c r="AA28" i="27"/>
  <c r="AB28" i="27" s="1"/>
  <c r="AA21" i="31"/>
  <c r="AB21" i="31" s="1"/>
  <c r="V48" i="1"/>
  <c r="W48" i="1" s="1"/>
  <c r="S48" i="1"/>
  <c r="T48" i="1" s="1"/>
  <c r="AA25" i="28"/>
  <c r="AB25" i="28" s="1"/>
  <c r="T17" i="31"/>
  <c r="U17" i="31" s="1"/>
  <c r="T43" i="31"/>
  <c r="U43" i="31" s="1"/>
  <c r="T25" i="26"/>
  <c r="U25" i="26" s="1"/>
  <c r="T40" i="26"/>
  <c r="U40" i="26" s="1"/>
  <c r="AA17" i="26"/>
  <c r="AB17" i="26" s="1"/>
  <c r="AA16" i="26"/>
  <c r="AB16" i="26" s="1"/>
  <c r="T22" i="27"/>
  <c r="U22" i="27" s="1"/>
  <c r="N55" i="1"/>
  <c r="O55" i="1" s="1"/>
  <c r="P55" i="1" s="1"/>
  <c r="T39" i="27"/>
  <c r="U39" i="27" s="1"/>
  <c r="I39" i="30"/>
  <c r="K39" i="30" s="1"/>
  <c r="M39" i="30" s="1"/>
  <c r="N39" i="30" s="1"/>
  <c r="I16" i="30"/>
  <c r="K16" i="30" s="1"/>
  <c r="M16" i="30" s="1"/>
  <c r="N16" i="30" s="1"/>
  <c r="I33" i="30"/>
  <c r="K33" i="30" s="1"/>
  <c r="M33" i="30" s="1"/>
  <c r="N33" i="30" s="1"/>
  <c r="I22" i="30"/>
  <c r="K22" i="30" s="1"/>
  <c r="M22" i="30" s="1"/>
  <c r="N22" i="30" s="1"/>
  <c r="I20" i="30"/>
  <c r="K20" i="30" s="1"/>
  <c r="M20" i="30" s="1"/>
  <c r="N20" i="30" s="1"/>
  <c r="I34" i="30"/>
  <c r="K34" i="30" s="1"/>
  <c r="M34" i="30" s="1"/>
  <c r="N34" i="30" s="1"/>
  <c r="I28" i="30"/>
  <c r="K28" i="30" s="1"/>
  <c r="M28" i="30" s="1"/>
  <c r="N28" i="30" s="1"/>
  <c r="I18" i="30"/>
  <c r="K18" i="30" s="1"/>
  <c r="M18" i="30" s="1"/>
  <c r="N18" i="30" s="1"/>
  <c r="I48" i="30"/>
  <c r="K48" i="30" s="1"/>
  <c r="I24" i="30"/>
  <c r="K24" i="30" s="1"/>
  <c r="I32" i="30"/>
  <c r="K32" i="30" s="1"/>
  <c r="M32" i="30" s="1"/>
  <c r="N32" i="30" s="1"/>
  <c r="I40" i="30"/>
  <c r="K40" i="30" s="1"/>
  <c r="M40" i="30" s="1"/>
  <c r="N40" i="30" s="1"/>
  <c r="I19" i="30"/>
  <c r="K19" i="30" s="1"/>
  <c r="M19" i="30" s="1"/>
  <c r="N19" i="30" s="1"/>
  <c r="I27" i="30"/>
  <c r="K27" i="30" s="1"/>
  <c r="M27" i="30" s="1"/>
  <c r="N27" i="30" s="1"/>
  <c r="I15" i="30"/>
  <c r="K15" i="30" s="1"/>
  <c r="M15" i="30" s="1"/>
  <c r="N15" i="30" s="1"/>
  <c r="I35" i="30"/>
  <c r="K35" i="30" s="1"/>
  <c r="M35" i="30" s="1"/>
  <c r="N35" i="30" s="1"/>
  <c r="I45" i="30"/>
  <c r="K45" i="30" s="1"/>
  <c r="M45" i="30" s="1"/>
  <c r="N45" i="30" s="1"/>
  <c r="I44" i="30"/>
  <c r="K44" i="30" s="1"/>
  <c r="M44" i="30" s="1"/>
  <c r="N44" i="30" s="1"/>
  <c r="I31" i="30"/>
  <c r="K31" i="30" s="1"/>
  <c r="M31" i="30" s="1"/>
  <c r="N31" i="30" s="1"/>
  <c r="I41" i="30"/>
  <c r="K41" i="30" s="1"/>
  <c r="M41" i="30" s="1"/>
  <c r="N41" i="30" s="1"/>
  <c r="I21" i="30"/>
  <c r="K21" i="30" s="1"/>
  <c r="M21" i="30" s="1"/>
  <c r="N21" i="30" s="1"/>
  <c r="I43" i="30"/>
  <c r="K43" i="30" s="1"/>
  <c r="M43" i="30" s="1"/>
  <c r="N43" i="30" s="1"/>
  <c r="I23" i="30"/>
  <c r="K23" i="30" s="1"/>
  <c r="M23" i="30" s="1"/>
  <c r="N23" i="30" s="1"/>
  <c r="I30" i="30"/>
  <c r="K30" i="30" s="1"/>
  <c r="M30" i="30" s="1"/>
  <c r="N30" i="30" s="1"/>
  <c r="I29" i="30"/>
  <c r="K29" i="30" s="1"/>
  <c r="M29" i="30" s="1"/>
  <c r="N29" i="30" s="1"/>
  <c r="I17" i="30"/>
  <c r="K17" i="30" s="1"/>
  <c r="M17" i="30" s="1"/>
  <c r="N17" i="30" s="1"/>
  <c r="I46" i="30"/>
  <c r="K46" i="30" s="1"/>
  <c r="M46" i="30" s="1"/>
  <c r="N46" i="30" s="1"/>
  <c r="I42" i="30"/>
  <c r="K42" i="30" s="1"/>
  <c r="M42" i="30" s="1"/>
  <c r="N42" i="30" s="1"/>
  <c r="I47" i="30"/>
  <c r="K47" i="30" s="1"/>
  <c r="M47" i="30" s="1"/>
  <c r="N47" i="30" s="1"/>
  <c r="I36" i="30"/>
  <c r="K36" i="30" s="1"/>
  <c r="AA45" i="24"/>
  <c r="AB45" i="24" s="1"/>
  <c r="AA46" i="24"/>
  <c r="AB46" i="24" s="1"/>
  <c r="AA37" i="24"/>
  <c r="AB37" i="24" s="1"/>
  <c r="T35" i="29"/>
  <c r="U35" i="29" s="1"/>
  <c r="N102" i="1"/>
  <c r="I34" i="35"/>
  <c r="K34" i="35" s="1"/>
  <c r="M34" i="35" s="1"/>
  <c r="N34" i="35" s="1"/>
  <c r="I25" i="35"/>
  <c r="K25" i="35" s="1"/>
  <c r="M25" i="35" s="1"/>
  <c r="N25" i="35" s="1"/>
  <c r="I31" i="35"/>
  <c r="K31" i="35" s="1"/>
  <c r="M31" i="35" s="1"/>
  <c r="N31" i="35" s="1"/>
  <c r="I22" i="35"/>
  <c r="K22" i="35" s="1"/>
  <c r="M22" i="35" s="1"/>
  <c r="N22" i="35" s="1"/>
  <c r="I17" i="35"/>
  <c r="K17" i="35" s="1"/>
  <c r="M17" i="35" s="1"/>
  <c r="N17" i="35" s="1"/>
  <c r="I14" i="35"/>
  <c r="K14" i="35" s="1"/>
  <c r="M14" i="35" s="1"/>
  <c r="N14" i="35" s="1"/>
  <c r="I26" i="35"/>
  <c r="K26" i="35" s="1"/>
  <c r="M26" i="35" s="1"/>
  <c r="N26" i="35" s="1"/>
  <c r="I30" i="35"/>
  <c r="K30" i="35" s="1"/>
  <c r="M30" i="35" s="1"/>
  <c r="N30" i="35" s="1"/>
  <c r="I15" i="35"/>
  <c r="K15" i="35" s="1"/>
  <c r="M15" i="35" s="1"/>
  <c r="N15" i="35" s="1"/>
  <c r="I19" i="35"/>
  <c r="K19" i="35" s="1"/>
  <c r="I27" i="35"/>
  <c r="K27" i="35" s="1"/>
  <c r="I24" i="35"/>
  <c r="K24" i="35" s="1"/>
  <c r="M24" i="35" s="1"/>
  <c r="N24" i="35" s="1"/>
  <c r="I16" i="35"/>
  <c r="K16" i="35" s="1"/>
  <c r="M16" i="35" s="1"/>
  <c r="N16" i="35" s="1"/>
  <c r="I33" i="35"/>
  <c r="K33" i="35" s="1"/>
  <c r="M33" i="35" s="1"/>
  <c r="N33" i="35" s="1"/>
  <c r="I18" i="35"/>
  <c r="K18" i="35" s="1"/>
  <c r="M18" i="35" s="1"/>
  <c r="N18" i="35" s="1"/>
  <c r="I23" i="35"/>
  <c r="K23" i="35" s="1"/>
  <c r="M23" i="35" s="1"/>
  <c r="N23" i="35" s="1"/>
  <c r="I35" i="35"/>
  <c r="K35" i="35" s="1"/>
  <c r="I32" i="35"/>
  <c r="K32" i="35" s="1"/>
  <c r="M32" i="35" s="1"/>
  <c r="N32" i="35" s="1"/>
  <c r="AA32" i="26"/>
  <c r="AB32" i="26" s="1"/>
  <c r="R52" i="1"/>
  <c r="I23" i="32"/>
  <c r="K23" i="32" s="1"/>
  <c r="M23" i="32" s="1"/>
  <c r="N23" i="32" s="1"/>
  <c r="I18" i="32"/>
  <c r="K18" i="32" s="1"/>
  <c r="M18" i="32" s="1"/>
  <c r="N18" i="32" s="1"/>
  <c r="I36" i="32"/>
  <c r="K36" i="32" s="1"/>
  <c r="M36" i="32" s="1"/>
  <c r="N36" i="32" s="1"/>
  <c r="I14" i="32"/>
  <c r="K14" i="32" s="1"/>
  <c r="M14" i="32" s="1"/>
  <c r="N14" i="32" s="1"/>
  <c r="I27" i="32"/>
  <c r="K27" i="32" s="1"/>
  <c r="M27" i="32" s="1"/>
  <c r="N27" i="32" s="1"/>
  <c r="I28" i="32"/>
  <c r="K28" i="32" s="1"/>
  <c r="M28" i="32" s="1"/>
  <c r="N28" i="32" s="1"/>
  <c r="I26" i="32"/>
  <c r="K26" i="32" s="1"/>
  <c r="M26" i="32" s="1"/>
  <c r="N26" i="32" s="1"/>
  <c r="I15" i="32"/>
  <c r="K15" i="32" s="1"/>
  <c r="M15" i="32" s="1"/>
  <c r="N15" i="32" s="1"/>
  <c r="I17" i="32"/>
  <c r="K17" i="32" s="1"/>
  <c r="M17" i="32" s="1"/>
  <c r="N17" i="32" s="1"/>
  <c r="I35" i="32"/>
  <c r="K35" i="32" s="1"/>
  <c r="M35" i="32" s="1"/>
  <c r="N35" i="32" s="1"/>
  <c r="I24" i="32"/>
  <c r="K24" i="32" s="1"/>
  <c r="M24" i="32" s="1"/>
  <c r="N24" i="32" s="1"/>
  <c r="I25" i="32"/>
  <c r="K25" i="32" s="1"/>
  <c r="M25" i="32" s="1"/>
  <c r="N25" i="32" s="1"/>
  <c r="I19" i="32"/>
  <c r="K19" i="32" s="1"/>
  <c r="M19" i="32" s="1"/>
  <c r="N19" i="32" s="1"/>
  <c r="I34" i="32"/>
  <c r="K34" i="32" s="1"/>
  <c r="M34" i="32" s="1"/>
  <c r="N34" i="32" s="1"/>
  <c r="I32" i="32"/>
  <c r="K32" i="32" s="1"/>
  <c r="M32" i="32" s="1"/>
  <c r="N32" i="32" s="1"/>
  <c r="I33" i="32"/>
  <c r="K33" i="32" s="1"/>
  <c r="M33" i="32" s="1"/>
  <c r="N33" i="32" s="1"/>
  <c r="I20" i="32"/>
  <c r="K20" i="32" s="1"/>
  <c r="I38" i="32"/>
  <c r="K38" i="32" s="1"/>
  <c r="I29" i="32"/>
  <c r="K29" i="32" s="1"/>
  <c r="I16" i="32"/>
  <c r="K16" i="32" s="1"/>
  <c r="M16" i="32" s="1"/>
  <c r="N16" i="32" s="1"/>
  <c r="I37" i="32"/>
  <c r="K37" i="32" s="1"/>
  <c r="M37" i="32" s="1"/>
  <c r="N37" i="32" s="1"/>
  <c r="AA36" i="18"/>
  <c r="AB36" i="18" s="1"/>
  <c r="R85" i="1"/>
  <c r="AA24" i="28"/>
  <c r="AB24" i="28" s="1"/>
  <c r="T24" i="31"/>
  <c r="U24" i="31" s="1"/>
  <c r="N67" i="1"/>
  <c r="O67" i="1" s="1"/>
  <c r="P67" i="1" s="1"/>
  <c r="AA39" i="31"/>
  <c r="AB39" i="31" s="1"/>
  <c r="AA32" i="28"/>
  <c r="AB32" i="28" s="1"/>
  <c r="M22" i="26"/>
  <c r="N22" i="26" s="1"/>
  <c r="J51" i="1"/>
  <c r="K51" i="1" s="1"/>
  <c r="L51" i="1" s="1"/>
  <c r="T48" i="31"/>
  <c r="U48" i="31" s="1"/>
  <c r="N69" i="1"/>
  <c r="M27" i="29"/>
  <c r="N27" i="29" s="1"/>
  <c r="J101" i="1"/>
  <c r="K101" i="1" s="1"/>
  <c r="L101" i="1" s="1"/>
  <c r="AA22" i="29"/>
  <c r="AB22" i="29" s="1"/>
  <c r="T47" i="24"/>
  <c r="U47" i="24" s="1"/>
  <c r="AA24" i="29"/>
  <c r="AB24" i="29" s="1"/>
  <c r="T31" i="29"/>
  <c r="U31" i="29" s="1"/>
  <c r="J56" i="1"/>
  <c r="K56" i="1" s="1"/>
  <c r="L56" i="1" s="1"/>
  <c r="M32" i="27"/>
  <c r="N32" i="27" s="1"/>
  <c r="O37" i="1"/>
  <c r="P37" i="1" s="1"/>
  <c r="AA26" i="29"/>
  <c r="AB26" i="29" s="1"/>
  <c r="O40" i="1"/>
  <c r="P40" i="1" s="1"/>
  <c r="O95" i="1"/>
  <c r="P95" i="1" s="1"/>
  <c r="M20" i="28"/>
  <c r="N20" i="28" s="1"/>
  <c r="J59" i="1"/>
  <c r="K59" i="1" s="1"/>
  <c r="L59" i="1" s="1"/>
  <c r="T21" i="24"/>
  <c r="U21" i="24" s="1"/>
  <c r="T16" i="24"/>
  <c r="U16" i="24" s="1"/>
  <c r="P19" i="35"/>
  <c r="R19" i="35" s="1"/>
  <c r="P14" i="35"/>
  <c r="R14" i="35" s="1"/>
  <c r="T14" i="35" s="1"/>
  <c r="U14" i="35" s="1"/>
  <c r="P30" i="35"/>
  <c r="R30" i="35" s="1"/>
  <c r="P25" i="35"/>
  <c r="R25" i="35" s="1"/>
  <c r="P31" i="35"/>
  <c r="R31" i="35" s="1"/>
  <c r="P18" i="35"/>
  <c r="R18" i="35" s="1"/>
  <c r="P15" i="35"/>
  <c r="R15" i="35" s="1"/>
  <c r="P35" i="35"/>
  <c r="R35" i="35" s="1"/>
  <c r="P23" i="35"/>
  <c r="R23" i="35" s="1"/>
  <c r="T23" i="35" s="1"/>
  <c r="U23" i="35" s="1"/>
  <c r="P34" i="35"/>
  <c r="R34" i="35" s="1"/>
  <c r="T34" i="35" s="1"/>
  <c r="U34" i="35" s="1"/>
  <c r="P26" i="35"/>
  <c r="R26" i="35" s="1"/>
  <c r="T26" i="35" s="1"/>
  <c r="U26" i="35" s="1"/>
  <c r="P17" i="35"/>
  <c r="R17" i="35" s="1"/>
  <c r="T17" i="35" s="1"/>
  <c r="U17" i="35" s="1"/>
  <c r="P32" i="35"/>
  <c r="R32" i="35" s="1"/>
  <c r="T32" i="35" s="1"/>
  <c r="U32" i="35" s="1"/>
  <c r="P33" i="35"/>
  <c r="R33" i="35" s="1"/>
  <c r="T33" i="35" s="1"/>
  <c r="U33" i="35" s="1"/>
  <c r="P27" i="35"/>
  <c r="R27" i="35" s="1"/>
  <c r="P16" i="35"/>
  <c r="R16" i="35" s="1"/>
  <c r="P22" i="35"/>
  <c r="R22" i="35" s="1"/>
  <c r="T22" i="35" s="1"/>
  <c r="U22" i="35" s="1"/>
  <c r="P24" i="35"/>
  <c r="R24" i="35" s="1"/>
  <c r="T24" i="35" s="1"/>
  <c r="U24" i="35" s="1"/>
  <c r="AA29" i="17"/>
  <c r="AB29" i="17" s="1"/>
  <c r="R40" i="1"/>
  <c r="T33" i="29"/>
  <c r="U33" i="29" s="1"/>
  <c r="O98" i="1"/>
  <c r="P98" i="1" s="1"/>
  <c r="T26" i="28"/>
  <c r="U26" i="28" s="1"/>
  <c r="AA18" i="27"/>
  <c r="AB18" i="27" s="1"/>
  <c r="AA38" i="27"/>
  <c r="AB38" i="27" s="1"/>
  <c r="AA34" i="31"/>
  <c r="AB34" i="31" s="1"/>
  <c r="AA44" i="31"/>
  <c r="AB44" i="31" s="1"/>
  <c r="AA30" i="31"/>
  <c r="AB30" i="31" s="1"/>
  <c r="AA14" i="28"/>
  <c r="AB14" i="28" s="1"/>
  <c r="AA27" i="28"/>
  <c r="AB27" i="28" s="1"/>
  <c r="M32" i="26"/>
  <c r="N32" i="26" s="1"/>
  <c r="J52" i="1"/>
  <c r="K52" i="1" s="1"/>
  <c r="L52" i="1" s="1"/>
  <c r="T36" i="31"/>
  <c r="U36" i="31" s="1"/>
  <c r="N68" i="1"/>
  <c r="O68" i="1" s="1"/>
  <c r="P68" i="1" s="1"/>
  <c r="T27" i="31"/>
  <c r="U27" i="31" s="1"/>
  <c r="T29" i="31"/>
  <c r="U29" i="31" s="1"/>
  <c r="T38" i="26"/>
  <c r="U38" i="26" s="1"/>
  <c r="N51" i="1"/>
  <c r="O51" i="1" s="1"/>
  <c r="P51" i="1" s="1"/>
  <c r="T22" i="26"/>
  <c r="U22" i="26" s="1"/>
  <c r="AA22" i="26"/>
  <c r="AB22" i="26" s="1"/>
  <c r="R51" i="1"/>
  <c r="AA42" i="26"/>
  <c r="AB42" i="26" s="1"/>
  <c r="R53" i="1"/>
  <c r="T32" i="27"/>
  <c r="U32" i="27" s="1"/>
  <c r="N56" i="1"/>
  <c r="O56" i="1" s="1"/>
  <c r="P56" i="1" s="1"/>
  <c r="T21" i="27"/>
  <c r="U21" i="27" s="1"/>
  <c r="AA15" i="24"/>
  <c r="AB15" i="24" s="1"/>
  <c r="AA51" i="24"/>
  <c r="AB51" i="24" s="1"/>
  <c r="R45" i="1"/>
  <c r="S91" i="1"/>
  <c r="T91" i="1" s="1"/>
  <c r="V91" i="1"/>
  <c r="W91" i="1" s="1"/>
  <c r="AA36" i="31"/>
  <c r="AB36" i="31" s="1"/>
  <c r="R68" i="1"/>
  <c r="AA24" i="31"/>
  <c r="AB24" i="31" s="1"/>
  <c r="R67" i="1"/>
  <c r="AA35" i="28"/>
  <c r="AB35" i="28" s="1"/>
  <c r="V47" i="1"/>
  <c r="W47" i="1" s="1"/>
  <c r="S47" i="1"/>
  <c r="T47" i="1" s="1"/>
  <c r="AA15" i="28"/>
  <c r="AB15" i="28" s="1"/>
  <c r="AA31" i="26"/>
  <c r="AB31" i="26" s="1"/>
  <c r="AA48" i="31"/>
  <c r="AB48" i="31" s="1"/>
  <c r="R69" i="1"/>
  <c r="T39" i="31"/>
  <c r="U39" i="31" s="1"/>
  <c r="AA37" i="26"/>
  <c r="AB37" i="26" s="1"/>
  <c r="T26" i="27"/>
  <c r="U26" i="27" s="1"/>
  <c r="S27" i="1"/>
  <c r="T27" i="1" s="1"/>
  <c r="AA17" i="24"/>
  <c r="AB17" i="24" s="1"/>
  <c r="AA30" i="29"/>
  <c r="AB30" i="29" s="1"/>
  <c r="W26" i="32"/>
  <c r="Y26" i="32" s="1"/>
  <c r="AA26" i="32" s="1"/>
  <c r="AB26" i="32" s="1"/>
  <c r="W27" i="32"/>
  <c r="Y27" i="32" s="1"/>
  <c r="W33" i="32"/>
  <c r="Y33" i="32" s="1"/>
  <c r="AA33" i="32" s="1"/>
  <c r="AB33" i="32" s="1"/>
  <c r="W17" i="32"/>
  <c r="Y17" i="32" s="1"/>
  <c r="W32" i="32"/>
  <c r="Y32" i="32" s="1"/>
  <c r="W29" i="32"/>
  <c r="Y29" i="32" s="1"/>
  <c r="W18" i="32"/>
  <c r="Y18" i="32" s="1"/>
  <c r="W24" i="32"/>
  <c r="Y24" i="32" s="1"/>
  <c r="W35" i="32"/>
  <c r="Y35" i="32" s="1"/>
  <c r="AA35" i="32" s="1"/>
  <c r="AB35" i="32" s="1"/>
  <c r="W19" i="32"/>
  <c r="Y19" i="32" s="1"/>
  <c r="W20" i="32"/>
  <c r="Y20" i="32" s="1"/>
  <c r="W16" i="32"/>
  <c r="Y16" i="32" s="1"/>
  <c r="AA16" i="32" s="1"/>
  <c r="AB16" i="32" s="1"/>
  <c r="W28" i="32"/>
  <c r="Y28" i="32" s="1"/>
  <c r="AA28" i="32" s="1"/>
  <c r="AB28" i="32" s="1"/>
  <c r="W36" i="32"/>
  <c r="Y36" i="32" s="1"/>
  <c r="AA36" i="32" s="1"/>
  <c r="AB36" i="32" s="1"/>
  <c r="W38" i="32"/>
  <c r="Y38" i="32" s="1"/>
  <c r="W37" i="32"/>
  <c r="Y37" i="32" s="1"/>
  <c r="AA37" i="32" s="1"/>
  <c r="AB37" i="32" s="1"/>
  <c r="W15" i="32"/>
  <c r="Y15" i="32" s="1"/>
  <c r="AA15" i="32" s="1"/>
  <c r="AB15" i="32" s="1"/>
  <c r="W25" i="32"/>
  <c r="Y25" i="32" s="1"/>
  <c r="AA25" i="32" s="1"/>
  <c r="AB25" i="32" s="1"/>
  <c r="W34" i="32"/>
  <c r="Y34" i="32" s="1"/>
  <c r="W14" i="32"/>
  <c r="Y14" i="32" s="1"/>
  <c r="W23" i="32"/>
  <c r="Y23" i="32" s="1"/>
  <c r="AA23" i="32" s="1"/>
  <c r="AB23" i="32" s="1"/>
  <c r="M38" i="24"/>
  <c r="N38" i="24" s="1"/>
  <c r="J44" i="1"/>
  <c r="K44" i="1" s="1"/>
  <c r="L44" i="1" s="1"/>
  <c r="AA36" i="28"/>
  <c r="AB36" i="28" s="1"/>
  <c r="V32" i="1"/>
  <c r="W32" i="1" s="1"/>
  <c r="S32" i="1"/>
  <c r="T32" i="1" s="1"/>
  <c r="AA50" i="24"/>
  <c r="AB50" i="24" s="1"/>
  <c r="T25" i="24"/>
  <c r="U25" i="24" s="1"/>
  <c r="N43" i="1"/>
  <c r="O43" i="1" s="1"/>
  <c r="P43" i="1" s="1"/>
  <c r="AA23" i="29"/>
  <c r="AB23" i="29" s="1"/>
  <c r="AA32" i="29"/>
  <c r="AB32" i="29" s="1"/>
  <c r="AA27" i="29"/>
  <c r="AB27" i="29" s="1"/>
  <c r="R101" i="1"/>
  <c r="V95" i="1"/>
  <c r="W95" i="1" s="1"/>
  <c r="S95" i="1"/>
  <c r="T95" i="1" s="1"/>
  <c r="T19" i="24"/>
  <c r="U19" i="24" s="1"/>
  <c r="T48" i="24"/>
  <c r="U48" i="24" s="1"/>
  <c r="M51" i="24"/>
  <c r="N51" i="24" s="1"/>
  <c r="J45" i="1"/>
  <c r="K45" i="1" s="1"/>
  <c r="L45" i="1" s="1"/>
  <c r="T14" i="29"/>
  <c r="U14" i="29" s="1"/>
  <c r="T17" i="28"/>
  <c r="U17" i="28" s="1"/>
  <c r="AA52" i="16"/>
  <c r="AB52" i="16" s="1"/>
  <c r="R37" i="1"/>
  <c r="AA35" i="27"/>
  <c r="AB35" i="27" s="1"/>
  <c r="AA31" i="31"/>
  <c r="AB31" i="31" s="1"/>
  <c r="AA15" i="31"/>
  <c r="AB15" i="31" s="1"/>
  <c r="AA46" i="31"/>
  <c r="AB46" i="31" s="1"/>
  <c r="I18" i="34"/>
  <c r="K18" i="34" s="1"/>
  <c r="M18" i="34" s="1"/>
  <c r="N18" i="34" s="1"/>
  <c r="I14" i="34"/>
  <c r="K14" i="34" s="1"/>
  <c r="M14" i="34" s="1"/>
  <c r="N14" i="34" s="1"/>
  <c r="I15" i="34"/>
  <c r="K15" i="34" s="1"/>
  <c r="M15" i="34" s="1"/>
  <c r="N15" i="34" s="1"/>
  <c r="I24" i="34"/>
  <c r="K24" i="34" s="1"/>
  <c r="M24" i="34" s="1"/>
  <c r="N24" i="34" s="1"/>
  <c r="I20" i="34"/>
  <c r="K20" i="34" s="1"/>
  <c r="I27" i="34"/>
  <c r="K27" i="34" s="1"/>
  <c r="M27" i="34" s="1"/>
  <c r="N27" i="34" s="1"/>
  <c r="I35" i="34"/>
  <c r="K35" i="34" s="1"/>
  <c r="M35" i="34" s="1"/>
  <c r="N35" i="34" s="1"/>
  <c r="I17" i="34"/>
  <c r="K17" i="34" s="1"/>
  <c r="M17" i="34" s="1"/>
  <c r="N17" i="34" s="1"/>
  <c r="I29" i="34"/>
  <c r="K29" i="34" s="1"/>
  <c r="I34" i="34"/>
  <c r="K34" i="34" s="1"/>
  <c r="M34" i="34" s="1"/>
  <c r="N34" i="34" s="1"/>
  <c r="I23" i="34"/>
  <c r="K23" i="34" s="1"/>
  <c r="M23" i="34" s="1"/>
  <c r="N23" i="34" s="1"/>
  <c r="I16" i="34"/>
  <c r="K16" i="34" s="1"/>
  <c r="M16" i="34" s="1"/>
  <c r="N16" i="34" s="1"/>
  <c r="I28" i="34"/>
  <c r="K28" i="34" s="1"/>
  <c r="M28" i="34" s="1"/>
  <c r="N28" i="34" s="1"/>
  <c r="I25" i="34"/>
  <c r="K25" i="34" s="1"/>
  <c r="M25" i="34" s="1"/>
  <c r="N25" i="34" s="1"/>
  <c r="I19" i="34"/>
  <c r="K19" i="34" s="1"/>
  <c r="M19" i="34" s="1"/>
  <c r="N19" i="34" s="1"/>
  <c r="I33" i="34"/>
  <c r="K33" i="34" s="1"/>
  <c r="M33" i="34" s="1"/>
  <c r="N33" i="34" s="1"/>
  <c r="I38" i="34"/>
  <c r="K38" i="34" s="1"/>
  <c r="I36" i="34"/>
  <c r="K36" i="34" s="1"/>
  <c r="M36" i="34" s="1"/>
  <c r="N36" i="34" s="1"/>
  <c r="I37" i="34"/>
  <c r="K37" i="34" s="1"/>
  <c r="M37" i="34" s="1"/>
  <c r="N37" i="34" s="1"/>
  <c r="I26" i="34"/>
  <c r="K26" i="34" s="1"/>
  <c r="M26" i="34" s="1"/>
  <c r="N26" i="34" s="1"/>
  <c r="I32" i="34"/>
  <c r="K32" i="34" s="1"/>
  <c r="M32" i="34" s="1"/>
  <c r="N32" i="34" s="1"/>
  <c r="AA29" i="28"/>
  <c r="AB29" i="28" s="1"/>
  <c r="R60" i="1"/>
  <c r="AA26" i="28"/>
  <c r="AB26" i="28" s="1"/>
  <c r="S49" i="1"/>
  <c r="T49" i="1" s="1"/>
  <c r="V49" i="1"/>
  <c r="W49" i="1" s="1"/>
  <c r="T16" i="31"/>
  <c r="U16" i="31" s="1"/>
  <c r="T23" i="31"/>
  <c r="U23" i="31" s="1"/>
  <c r="T28" i="31"/>
  <c r="U28" i="31" s="1"/>
  <c r="T32" i="26"/>
  <c r="U32" i="26" s="1"/>
  <c r="N52" i="1"/>
  <c r="O52" i="1" s="1"/>
  <c r="P52" i="1" s="1"/>
  <c r="T27" i="26"/>
  <c r="U27" i="26" s="1"/>
  <c r="AA20" i="26"/>
  <c r="AB20" i="26" s="1"/>
  <c r="AA39" i="26"/>
  <c r="AB39" i="26" s="1"/>
  <c r="T19" i="27"/>
  <c r="U19" i="27" s="1"/>
  <c r="T17" i="27"/>
  <c r="U17" i="27" s="1"/>
  <c r="AA21" i="24"/>
  <c r="AB21" i="24" s="1"/>
  <c r="AA28" i="24"/>
  <c r="AB28" i="24" s="1"/>
  <c r="M19" i="35" l="1"/>
  <c r="N19" i="35" s="1"/>
  <c r="J104" i="1"/>
  <c r="K104" i="1" s="1"/>
  <c r="L104" i="1" s="1"/>
  <c r="M48" i="30"/>
  <c r="N48" i="30" s="1"/>
  <c r="J65" i="1"/>
  <c r="K65" i="1" s="1"/>
  <c r="L65" i="1" s="1"/>
  <c r="V69" i="1"/>
  <c r="W69" i="1" s="1"/>
  <c r="S69" i="1"/>
  <c r="T69" i="1" s="1"/>
  <c r="T36" i="33"/>
  <c r="U36" i="33" s="1"/>
  <c r="N77" i="1"/>
  <c r="M38" i="34"/>
  <c r="N38" i="34" s="1"/>
  <c r="J81" i="1"/>
  <c r="K81" i="1" s="1"/>
  <c r="L81" i="1" s="1"/>
  <c r="AA33" i="35"/>
  <c r="AB33" i="35" s="1"/>
  <c r="AA28" i="33"/>
  <c r="AB28" i="33" s="1"/>
  <c r="R76" i="1"/>
  <c r="S59" i="1"/>
  <c r="T59" i="1" s="1"/>
  <c r="V59" i="1"/>
  <c r="W59" i="1" s="1"/>
  <c r="O59" i="1"/>
  <c r="P59" i="1" s="1"/>
  <c r="T20" i="34"/>
  <c r="U20" i="34" s="1"/>
  <c r="N79" i="1"/>
  <c r="T20" i="30"/>
  <c r="U20" i="30" s="1"/>
  <c r="AA23" i="30"/>
  <c r="AB23" i="30" s="1"/>
  <c r="V55" i="1"/>
  <c r="W55" i="1" s="1"/>
  <c r="S55" i="1"/>
  <c r="T55" i="1" s="1"/>
  <c r="T14" i="34"/>
  <c r="U14" i="34" s="1"/>
  <c r="T28" i="32"/>
  <c r="U28" i="32" s="1"/>
  <c r="AA24" i="35"/>
  <c r="AB24" i="35" s="1"/>
  <c r="T32" i="33"/>
  <c r="U32" i="33" s="1"/>
  <c r="AA28" i="30"/>
  <c r="AB28" i="30" s="1"/>
  <c r="S44" i="1"/>
  <c r="T44" i="1" s="1"/>
  <c r="V44" i="1"/>
  <c r="W44" i="1" s="1"/>
  <c r="T44" i="30"/>
  <c r="U44" i="30" s="1"/>
  <c r="M35" i="35"/>
  <c r="N35" i="35" s="1"/>
  <c r="J106" i="1"/>
  <c r="K106" i="1" s="1"/>
  <c r="L106" i="1" s="1"/>
  <c r="T29" i="34"/>
  <c r="U29" i="34" s="1"/>
  <c r="N80" i="1"/>
  <c r="T23" i="32"/>
  <c r="U23" i="32" s="1"/>
  <c r="T34" i="30"/>
  <c r="U34" i="30" s="1"/>
  <c r="T45" i="30"/>
  <c r="U45" i="30" s="1"/>
  <c r="AA22" i="30"/>
  <c r="AB22" i="30" s="1"/>
  <c r="AA46" i="30"/>
  <c r="AB46" i="30" s="1"/>
  <c r="AA45" i="30"/>
  <c r="AB45" i="30" s="1"/>
  <c r="V40" i="1"/>
  <c r="W40" i="1" s="1"/>
  <c r="S40" i="1"/>
  <c r="T40" i="1" s="1"/>
  <c r="T35" i="35"/>
  <c r="U35" i="35" s="1"/>
  <c r="N106" i="1"/>
  <c r="O106" i="1" s="1"/>
  <c r="P106" i="1" s="1"/>
  <c r="O69" i="1"/>
  <c r="P69" i="1" s="1"/>
  <c r="AA16" i="33"/>
  <c r="AB16" i="33" s="1"/>
  <c r="AA15" i="33"/>
  <c r="AB15" i="33" s="1"/>
  <c r="T17" i="34"/>
  <c r="U17" i="34" s="1"/>
  <c r="T16" i="34"/>
  <c r="U16" i="34" s="1"/>
  <c r="T37" i="32"/>
  <c r="U37" i="32" s="1"/>
  <c r="T16" i="32"/>
  <c r="U16" i="32" s="1"/>
  <c r="T36" i="30"/>
  <c r="U36" i="30" s="1"/>
  <c r="N64" i="1"/>
  <c r="O64" i="1" s="1"/>
  <c r="P64" i="1" s="1"/>
  <c r="T32" i="30"/>
  <c r="U32" i="30" s="1"/>
  <c r="T48" i="30"/>
  <c r="U48" i="30" s="1"/>
  <c r="N65" i="1"/>
  <c r="O65" i="1" s="1"/>
  <c r="P65" i="1" s="1"/>
  <c r="AA40" i="30"/>
  <c r="AB40" i="30" s="1"/>
  <c r="AA35" i="30"/>
  <c r="AB35" i="30" s="1"/>
  <c r="R64" i="1"/>
  <c r="AA36" i="30"/>
  <c r="AB36" i="30" s="1"/>
  <c r="V97" i="1"/>
  <c r="W97" i="1" s="1"/>
  <c r="S97" i="1"/>
  <c r="T97" i="1" s="1"/>
  <c r="AA38" i="34"/>
  <c r="AB38" i="34" s="1"/>
  <c r="R81" i="1"/>
  <c r="AA34" i="34"/>
  <c r="AB34" i="34" s="1"/>
  <c r="M20" i="33"/>
  <c r="N20" i="33" s="1"/>
  <c r="J75" i="1"/>
  <c r="K75" i="1" s="1"/>
  <c r="L75" i="1" s="1"/>
  <c r="AA30" i="35"/>
  <c r="AB30" i="35" s="1"/>
  <c r="T18" i="33"/>
  <c r="U18" i="33" s="1"/>
  <c r="V56" i="1"/>
  <c r="W56" i="1" s="1"/>
  <c r="S56" i="1"/>
  <c r="T56" i="1" s="1"/>
  <c r="R65" i="1"/>
  <c r="AA48" i="30"/>
  <c r="AB48" i="30" s="1"/>
  <c r="S35" i="1"/>
  <c r="T35" i="1" s="1"/>
  <c r="V35" i="1"/>
  <c r="W35" i="1" s="1"/>
  <c r="T28" i="33"/>
  <c r="U28" i="33" s="1"/>
  <c r="N76" i="1"/>
  <c r="O76" i="1" s="1"/>
  <c r="P76" i="1" s="1"/>
  <c r="T27" i="34"/>
  <c r="U27" i="34" s="1"/>
  <c r="V61" i="1"/>
  <c r="W61" i="1" s="1"/>
  <c r="S61" i="1"/>
  <c r="T61" i="1" s="1"/>
  <c r="T34" i="32"/>
  <c r="U34" i="32" s="1"/>
  <c r="T20" i="32"/>
  <c r="U20" i="32" s="1"/>
  <c r="N71" i="1"/>
  <c r="O71" i="1" s="1"/>
  <c r="P71" i="1" s="1"/>
  <c r="T19" i="30"/>
  <c r="U19" i="30" s="1"/>
  <c r="T29" i="30"/>
  <c r="U29" i="30" s="1"/>
  <c r="AA43" i="30"/>
  <c r="AB43" i="30" s="1"/>
  <c r="AA37" i="34"/>
  <c r="AB37" i="34" s="1"/>
  <c r="AA28" i="34"/>
  <c r="AB28" i="34" s="1"/>
  <c r="M28" i="33"/>
  <c r="N28" i="33" s="1"/>
  <c r="J76" i="1"/>
  <c r="K76" i="1" s="1"/>
  <c r="L76" i="1" s="1"/>
  <c r="AA31" i="35"/>
  <c r="AB31" i="35" s="1"/>
  <c r="AA32" i="32"/>
  <c r="AB32" i="32" s="1"/>
  <c r="T18" i="32"/>
  <c r="U18" i="32" s="1"/>
  <c r="AA17" i="32"/>
  <c r="AB17" i="32" s="1"/>
  <c r="Z33" i="23"/>
  <c r="AA33" i="23" s="1"/>
  <c r="R98" i="1"/>
  <c r="M36" i="30"/>
  <c r="N36" i="30" s="1"/>
  <c r="J64" i="1"/>
  <c r="K64" i="1" s="1"/>
  <c r="L64" i="1" s="1"/>
  <c r="T41" i="30"/>
  <c r="U41" i="30" s="1"/>
  <c r="M36" i="33"/>
  <c r="N36" i="33" s="1"/>
  <c r="J77" i="1"/>
  <c r="K77" i="1" s="1"/>
  <c r="L77" i="1" s="1"/>
  <c r="AA20" i="32"/>
  <c r="AB20" i="32" s="1"/>
  <c r="R71" i="1"/>
  <c r="V67" i="1"/>
  <c r="W67" i="1" s="1"/>
  <c r="S67" i="1"/>
  <c r="T67" i="1" s="1"/>
  <c r="T19" i="34"/>
  <c r="U19" i="34" s="1"/>
  <c r="M38" i="32"/>
  <c r="N38" i="32" s="1"/>
  <c r="J73" i="1"/>
  <c r="K73" i="1" s="1"/>
  <c r="L73" i="1" s="1"/>
  <c r="O101" i="1"/>
  <c r="P101" i="1" s="1"/>
  <c r="AA31" i="33"/>
  <c r="AB31" i="33" s="1"/>
  <c r="T25" i="34"/>
  <c r="U25" i="34" s="1"/>
  <c r="T34" i="34"/>
  <c r="U34" i="34" s="1"/>
  <c r="T25" i="32"/>
  <c r="U25" i="32" s="1"/>
  <c r="T16" i="30"/>
  <c r="U16" i="30" s="1"/>
  <c r="AA29" i="30"/>
  <c r="AB29" i="30" s="1"/>
  <c r="AA17" i="30"/>
  <c r="AB17" i="30" s="1"/>
  <c r="AA33" i="30"/>
  <c r="AB33" i="30" s="1"/>
  <c r="AA20" i="34"/>
  <c r="AB20" i="34" s="1"/>
  <c r="R79" i="1"/>
  <c r="AA32" i="34"/>
  <c r="AB32" i="34" s="1"/>
  <c r="AA35" i="35"/>
  <c r="AB35" i="35" s="1"/>
  <c r="R106" i="1"/>
  <c r="T20" i="33"/>
  <c r="U20" i="33" s="1"/>
  <c r="N75" i="1"/>
  <c r="O75" i="1" s="1"/>
  <c r="P75" i="1" s="1"/>
  <c r="V52" i="1"/>
  <c r="W52" i="1" s="1"/>
  <c r="S52" i="1"/>
  <c r="T52" i="1" s="1"/>
  <c r="V100" i="1"/>
  <c r="W100" i="1" s="1"/>
  <c r="S100" i="1"/>
  <c r="T100" i="1" s="1"/>
  <c r="V85" i="1"/>
  <c r="W85" i="1" s="1"/>
  <c r="S85" i="1"/>
  <c r="T85" i="1" s="1"/>
  <c r="T38" i="34"/>
  <c r="U38" i="34" s="1"/>
  <c r="N81" i="1"/>
  <c r="O81" i="1" s="1"/>
  <c r="P81" i="1" s="1"/>
  <c r="V53" i="1"/>
  <c r="W53" i="1" s="1"/>
  <c r="S53" i="1"/>
  <c r="T53" i="1" s="1"/>
  <c r="M29" i="32"/>
  <c r="N29" i="32" s="1"/>
  <c r="J72" i="1"/>
  <c r="K72" i="1" s="1"/>
  <c r="L72" i="1" s="1"/>
  <c r="V41" i="1"/>
  <c r="W41" i="1" s="1"/>
  <c r="S41" i="1"/>
  <c r="T41" i="1" s="1"/>
  <c r="V60" i="1"/>
  <c r="W60" i="1" s="1"/>
  <c r="S60" i="1"/>
  <c r="T60" i="1" s="1"/>
  <c r="AA19" i="32"/>
  <c r="AB19" i="32" s="1"/>
  <c r="AA33" i="33"/>
  <c r="AB33" i="33" s="1"/>
  <c r="V102" i="1"/>
  <c r="W102" i="1" s="1"/>
  <c r="S102" i="1"/>
  <c r="T102" i="1" s="1"/>
  <c r="T35" i="34"/>
  <c r="U35" i="34" s="1"/>
  <c r="T42" i="30"/>
  <c r="U42" i="30" s="1"/>
  <c r="AA30" i="30"/>
  <c r="AB30" i="30" s="1"/>
  <c r="O61" i="1"/>
  <c r="P61" i="1" s="1"/>
  <c r="AA24" i="34"/>
  <c r="AB24" i="34" s="1"/>
  <c r="AA29" i="34"/>
  <c r="AB29" i="34" s="1"/>
  <c r="R80" i="1"/>
  <c r="AA14" i="35"/>
  <c r="AB14" i="35" s="1"/>
  <c r="AA19" i="35"/>
  <c r="AB19" i="35" s="1"/>
  <c r="R104" i="1"/>
  <c r="AA29" i="32"/>
  <c r="AB29" i="32" s="1"/>
  <c r="R72" i="1"/>
  <c r="V36" i="1"/>
  <c r="W36" i="1" s="1"/>
  <c r="S36" i="1"/>
  <c r="T36" i="1" s="1"/>
  <c r="S45" i="1"/>
  <c r="T45" i="1" s="1"/>
  <c r="V45" i="1"/>
  <c r="W45" i="1" s="1"/>
  <c r="T19" i="35"/>
  <c r="U19" i="35" s="1"/>
  <c r="N104" i="1"/>
  <c r="O104" i="1" s="1"/>
  <c r="P104" i="1" s="1"/>
  <c r="T19" i="32"/>
  <c r="U19" i="32" s="1"/>
  <c r="AA27" i="35"/>
  <c r="AB27" i="35" s="1"/>
  <c r="R105" i="1"/>
  <c r="AA38" i="32"/>
  <c r="AB38" i="32" s="1"/>
  <c r="R73" i="1"/>
  <c r="T15" i="35"/>
  <c r="U15" i="35" s="1"/>
  <c r="T15" i="34"/>
  <c r="U15" i="34" s="1"/>
  <c r="T18" i="35"/>
  <c r="U18" i="35" s="1"/>
  <c r="V101" i="1"/>
  <c r="W101" i="1" s="1"/>
  <c r="S101" i="1"/>
  <c r="T101" i="1" s="1"/>
  <c r="S68" i="1"/>
  <c r="T68" i="1" s="1"/>
  <c r="V68" i="1"/>
  <c r="W68" i="1" s="1"/>
  <c r="T31" i="35"/>
  <c r="U31" i="35" s="1"/>
  <c r="T24" i="34"/>
  <c r="U24" i="34" s="1"/>
  <c r="M29" i="34"/>
  <c r="N29" i="34" s="1"/>
  <c r="J80" i="1"/>
  <c r="K80" i="1" s="1"/>
  <c r="L80" i="1" s="1"/>
  <c r="AA24" i="32"/>
  <c r="AB24" i="32" s="1"/>
  <c r="T16" i="35"/>
  <c r="U16" i="35" s="1"/>
  <c r="AA36" i="33"/>
  <c r="AB36" i="33" s="1"/>
  <c r="R77" i="1"/>
  <c r="T36" i="34"/>
  <c r="U36" i="34" s="1"/>
  <c r="T26" i="32"/>
  <c r="U26" i="32" s="1"/>
  <c r="T21" i="30"/>
  <c r="U21" i="30" s="1"/>
  <c r="V43" i="1"/>
  <c r="W43" i="1" s="1"/>
  <c r="S43" i="1"/>
  <c r="T43" i="1" s="1"/>
  <c r="AA20" i="30"/>
  <c r="AB20" i="30" s="1"/>
  <c r="AA44" i="30"/>
  <c r="AB44" i="30" s="1"/>
  <c r="V57" i="1"/>
  <c r="W57" i="1" s="1"/>
  <c r="S57" i="1"/>
  <c r="T57" i="1" s="1"/>
  <c r="AA15" i="34"/>
  <c r="AB15" i="34" s="1"/>
  <c r="AA26" i="34"/>
  <c r="AB26" i="34" s="1"/>
  <c r="AA16" i="35"/>
  <c r="AB16" i="35" s="1"/>
  <c r="AA15" i="35"/>
  <c r="AB15" i="35" s="1"/>
  <c r="T25" i="33"/>
  <c r="U25" i="33" s="1"/>
  <c r="V39" i="1"/>
  <c r="W39" i="1" s="1"/>
  <c r="S39" i="1"/>
  <c r="T39" i="1" s="1"/>
  <c r="AA47" i="30"/>
  <c r="AB47" i="30" s="1"/>
  <c r="M20" i="34"/>
  <c r="N20" i="34" s="1"/>
  <c r="J79" i="1"/>
  <c r="K79" i="1" s="1"/>
  <c r="L79" i="1" s="1"/>
  <c r="T37" i="34"/>
  <c r="U37" i="34" s="1"/>
  <c r="T38" i="32"/>
  <c r="U38" i="32" s="1"/>
  <c r="N73" i="1"/>
  <c r="O73" i="1" s="1"/>
  <c r="P73" i="1" s="1"/>
  <c r="AA19" i="33"/>
  <c r="AB19" i="33" s="1"/>
  <c r="T31" i="33"/>
  <c r="U31" i="33" s="1"/>
  <c r="AA27" i="32"/>
  <c r="AB27" i="32" s="1"/>
  <c r="AA27" i="33"/>
  <c r="AB27" i="33" s="1"/>
  <c r="S51" i="1"/>
  <c r="T51" i="1" s="1"/>
  <c r="V51" i="1"/>
  <c r="W51" i="1" s="1"/>
  <c r="M20" i="32"/>
  <c r="N20" i="32" s="1"/>
  <c r="J71" i="1"/>
  <c r="K71" i="1" s="1"/>
  <c r="L71" i="1" s="1"/>
  <c r="S83" i="1"/>
  <c r="T83" i="1" s="1"/>
  <c r="V83" i="1"/>
  <c r="W83" i="1" s="1"/>
  <c r="T29" i="32"/>
  <c r="U29" i="32" s="1"/>
  <c r="N72" i="1"/>
  <c r="O72" i="1" s="1"/>
  <c r="P72" i="1" s="1"/>
  <c r="AA24" i="30"/>
  <c r="AB24" i="30" s="1"/>
  <c r="R63" i="1"/>
  <c r="AA14" i="32"/>
  <c r="AB14" i="32" s="1"/>
  <c r="T25" i="35"/>
  <c r="U25" i="35" s="1"/>
  <c r="O102" i="1"/>
  <c r="P102" i="1" s="1"/>
  <c r="O57" i="1"/>
  <c r="P57" i="1" s="1"/>
  <c r="T24" i="30"/>
  <c r="U24" i="30" s="1"/>
  <c r="N63" i="1"/>
  <c r="O63" i="1" s="1"/>
  <c r="P63" i="1" s="1"/>
  <c r="V37" i="1"/>
  <c r="W37" i="1" s="1"/>
  <c r="S37" i="1"/>
  <c r="T37" i="1" s="1"/>
  <c r="AA34" i="32"/>
  <c r="AB34" i="32" s="1"/>
  <c r="AA18" i="32"/>
  <c r="AB18" i="32" s="1"/>
  <c r="T27" i="35"/>
  <c r="U27" i="35" s="1"/>
  <c r="N105" i="1"/>
  <c r="T30" i="35"/>
  <c r="U30" i="35" s="1"/>
  <c r="M27" i="35"/>
  <c r="N27" i="35" s="1"/>
  <c r="J105" i="1"/>
  <c r="K105" i="1" s="1"/>
  <c r="L105" i="1" s="1"/>
  <c r="M24" i="30"/>
  <c r="N24" i="30" s="1"/>
  <c r="J63" i="1"/>
  <c r="K63" i="1" s="1"/>
  <c r="L63" i="1" s="1"/>
  <c r="V84" i="1"/>
  <c r="W84" i="1" s="1"/>
  <c r="S84" i="1"/>
  <c r="T84" i="1" s="1"/>
  <c r="O44" i="1"/>
  <c r="P44" i="1" s="1"/>
  <c r="AA20" i="33"/>
  <c r="AB20" i="33" s="1"/>
  <c r="R75" i="1"/>
  <c r="T33" i="34"/>
  <c r="U33" i="34" s="1"/>
  <c r="O60" i="1"/>
  <c r="P60" i="1" s="1"/>
  <c r="T35" i="32"/>
  <c r="U35" i="32" s="1"/>
  <c r="T27" i="30"/>
  <c r="U27" i="30" s="1"/>
  <c r="T39" i="30"/>
  <c r="U39" i="30" s="1"/>
  <c r="AA18" i="30"/>
  <c r="AB18" i="30" s="1"/>
  <c r="AA31" i="30"/>
  <c r="AB31" i="30" s="1"/>
  <c r="AA27" i="34"/>
  <c r="AB27" i="34" s="1"/>
  <c r="AA36" i="34"/>
  <c r="AB36" i="34" s="1"/>
  <c r="AA25" i="35"/>
  <c r="AB25" i="35" s="1"/>
  <c r="AA26" i="35"/>
  <c r="AB26" i="35" s="1"/>
  <c r="T17" i="33"/>
  <c r="U17" i="33" s="1"/>
  <c r="T23" i="33"/>
  <c r="U23" i="33" s="1"/>
  <c r="V98" i="1" l="1"/>
  <c r="W98" i="1" s="1"/>
  <c r="S98" i="1"/>
  <c r="T98" i="1" s="1"/>
  <c r="V104" i="1"/>
  <c r="W104" i="1" s="1"/>
  <c r="S104" i="1"/>
  <c r="T104" i="1" s="1"/>
  <c r="S105" i="1"/>
  <c r="T105" i="1" s="1"/>
  <c r="V105" i="1"/>
  <c r="W105" i="1" s="1"/>
  <c r="O77" i="1"/>
  <c r="P77" i="1" s="1"/>
  <c r="V80" i="1"/>
  <c r="W80" i="1" s="1"/>
  <c r="S80" i="1"/>
  <c r="T80" i="1" s="1"/>
  <c r="V71" i="1"/>
  <c r="W71" i="1" s="1"/>
  <c r="S71" i="1"/>
  <c r="T71" i="1" s="1"/>
  <c r="O79" i="1"/>
  <c r="P79" i="1" s="1"/>
  <c r="S75" i="1"/>
  <c r="T75" i="1" s="1"/>
  <c r="V75" i="1"/>
  <c r="W75" i="1" s="1"/>
  <c r="V72" i="1"/>
  <c r="W72" i="1" s="1"/>
  <c r="S72" i="1"/>
  <c r="T72" i="1" s="1"/>
  <c r="S65" i="1"/>
  <c r="T65" i="1" s="1"/>
  <c r="V65" i="1"/>
  <c r="W65" i="1" s="1"/>
  <c r="S73" i="1"/>
  <c r="T73" i="1" s="1"/>
  <c r="V73" i="1"/>
  <c r="W73" i="1" s="1"/>
  <c r="V79" i="1"/>
  <c r="W79" i="1" s="1"/>
  <c r="S79" i="1"/>
  <c r="T79" i="1" s="1"/>
  <c r="V64" i="1"/>
  <c r="W64" i="1" s="1"/>
  <c r="S64" i="1"/>
  <c r="T64" i="1" s="1"/>
  <c r="O80" i="1"/>
  <c r="P80" i="1" s="1"/>
  <c r="V81" i="1"/>
  <c r="W81" i="1" s="1"/>
  <c r="S81" i="1"/>
  <c r="T81" i="1" s="1"/>
  <c r="O105" i="1"/>
  <c r="P105" i="1" s="1"/>
  <c r="V63" i="1"/>
  <c r="W63" i="1" s="1"/>
  <c r="S63" i="1"/>
  <c r="T63" i="1" s="1"/>
  <c r="V77" i="1"/>
  <c r="W77" i="1" s="1"/>
  <c r="S77" i="1"/>
  <c r="T77" i="1" s="1"/>
  <c r="V106" i="1"/>
  <c r="W106" i="1" s="1"/>
  <c r="S106" i="1"/>
  <c r="T106" i="1" s="1"/>
  <c r="V76" i="1"/>
  <c r="W76" i="1" s="1"/>
  <c r="S76" i="1"/>
  <c r="T76" i="1" s="1"/>
</calcChain>
</file>

<file path=xl/sharedStrings.xml><?xml version="1.0" encoding="utf-8"?>
<sst xmlns="http://schemas.openxmlformats.org/spreadsheetml/2006/main" count="2542" uniqueCount="226">
  <si>
    <t>Eastern and Western Massachusetts</t>
  </si>
  <si>
    <t>Summary of Illustrative Monthly Bill Impact - Non Participant</t>
  </si>
  <si>
    <t>Monthly</t>
  </si>
  <si>
    <t>2025 vs. 2024</t>
  </si>
  <si>
    <t>2026 vs. 2025</t>
  </si>
  <si>
    <t>2027 vs. 2026</t>
  </si>
  <si>
    <t>2027 vs. 2024</t>
  </si>
  <si>
    <t>Service Area</t>
  </si>
  <si>
    <t>Service Territory</t>
  </si>
  <si>
    <t>Rate</t>
  </si>
  <si>
    <t>kW/kVA</t>
  </si>
  <si>
    <t>kWh</t>
  </si>
  <si>
    <t>Total Bill</t>
  </si>
  <si>
    <t>$ Change</t>
  </si>
  <si>
    <t>% Change</t>
  </si>
  <si>
    <t>EMA</t>
  </si>
  <si>
    <t>R-1</t>
  </si>
  <si>
    <t>WMA</t>
  </si>
  <si>
    <t>R-2</t>
  </si>
  <si>
    <t>R-3</t>
  </si>
  <si>
    <t>R-4</t>
  </si>
  <si>
    <t>Greater Boston</t>
  </si>
  <si>
    <t>G-1 Non-Demand</t>
  </si>
  <si>
    <t>Cambridge</t>
  </si>
  <si>
    <t>South</t>
  </si>
  <si>
    <t>G-1 Demand</t>
  </si>
  <si>
    <t>G-2 (NEMA)</t>
  </si>
  <si>
    <t>G-2 (SEMA)</t>
  </si>
  <si>
    <t>G-2</t>
  </si>
  <si>
    <t>G-3 (NEMA)</t>
  </si>
  <si>
    <t>G-3 (SEMA)</t>
  </si>
  <si>
    <t>G-3</t>
  </si>
  <si>
    <t>G-4</t>
  </si>
  <si>
    <t>G-5</t>
  </si>
  <si>
    <t>G-6</t>
  </si>
  <si>
    <t>G-7</t>
  </si>
  <si>
    <t>T-1 (Winter)</t>
  </si>
  <si>
    <t>T-1 (Summer)</t>
  </si>
  <si>
    <t>T-4</t>
  </si>
  <si>
    <t>T-5</t>
  </si>
  <si>
    <t>Eastern Massachusetts</t>
  </si>
  <si>
    <t>Illustrative Monthly Bill Impact - Non Participant</t>
  </si>
  <si>
    <t>Rate R-1 Residential</t>
  </si>
  <si>
    <t>2024 Monthly Bill</t>
  </si>
  <si>
    <t>2025 Illustrative Monthly Bill</t>
  </si>
  <si>
    <t>2026 Illustrative Monthly Bill</t>
  </si>
  <si>
    <t>2027 Illustrative Monthly Bill</t>
  </si>
  <si>
    <t xml:space="preserve">kWh </t>
  </si>
  <si>
    <t>Delivery</t>
  </si>
  <si>
    <t>Supplier</t>
  </si>
  <si>
    <t>Total</t>
  </si>
  <si>
    <t>Change</t>
  </si>
  <si>
    <t>Avg</t>
  </si>
  <si>
    <t xml:space="preserve"> </t>
  </si>
  <si>
    <t>2025 v 2024</t>
  </si>
  <si>
    <t>2026 v 2025</t>
  </si>
  <si>
    <t>2027 v 2026</t>
  </si>
  <si>
    <t>Rates</t>
  </si>
  <si>
    <t>Customer Charge</t>
  </si>
  <si>
    <t>DIST</t>
  </si>
  <si>
    <t>Distribution Energy</t>
  </si>
  <si>
    <t>Exogenous Cost Adjustment</t>
  </si>
  <si>
    <t>ECA</t>
  </si>
  <si>
    <t>Revenue Decoupling</t>
  </si>
  <si>
    <t>RDAF</t>
  </si>
  <si>
    <t>Distributed Solar Charge</t>
  </si>
  <si>
    <t>SMART</t>
  </si>
  <si>
    <t>Residential Assistance Adjustment Factor</t>
  </si>
  <si>
    <t>RAAF</t>
  </si>
  <si>
    <t>Pension Adjustment Factor</t>
  </si>
  <si>
    <t>PAF</t>
  </si>
  <si>
    <t>Net Metering Recovery Surcharge</t>
  </si>
  <si>
    <t>NMRS</t>
  </si>
  <si>
    <t>Long Term Renewable Contract Adjustment</t>
  </si>
  <si>
    <t>LTRCA</t>
  </si>
  <si>
    <t>AG Consulting Expense</t>
  </si>
  <si>
    <t>AGCE</t>
  </si>
  <si>
    <t>Storm Cost Recovery Adjustment Factor</t>
  </si>
  <si>
    <t>SCRA</t>
  </si>
  <si>
    <t>Storm Reserve Adjustment</t>
  </si>
  <si>
    <t>SRA</t>
  </si>
  <si>
    <t>Basic Service Cost True Up Factor</t>
  </si>
  <si>
    <t>BSTF</t>
  </si>
  <si>
    <t>Solar Program Cost Adjustment Factor</t>
  </si>
  <si>
    <t>SPCA</t>
  </si>
  <si>
    <t>Solar Expansion Cost Recovery Factor</t>
  </si>
  <si>
    <t>SECRF</t>
  </si>
  <si>
    <t>Vegetation Management</t>
  </si>
  <si>
    <t>RTWF</t>
  </si>
  <si>
    <t>Tax Act Credit Factor</t>
  </si>
  <si>
    <t>TACF</t>
  </si>
  <si>
    <t>Grid Modernization</t>
  </si>
  <si>
    <t>GMOD</t>
  </si>
  <si>
    <t>Advanced Metering Infrastructure</t>
  </si>
  <si>
    <t>AMIF</t>
  </si>
  <si>
    <t>Electronic Payment Recovery</t>
  </si>
  <si>
    <t>EPR</t>
  </si>
  <si>
    <t>Provisional System Planning Factor</t>
  </si>
  <si>
    <t>PSPF</t>
  </si>
  <si>
    <t>Electric Vehicle Factor</t>
  </si>
  <si>
    <t>EVF</t>
  </si>
  <si>
    <t>Transition</t>
  </si>
  <si>
    <t>TRNSN</t>
  </si>
  <si>
    <t>Transmission Energy</t>
  </si>
  <si>
    <t>TMKWH</t>
  </si>
  <si>
    <t>Energy Efficiency Reconciliation Factor</t>
  </si>
  <si>
    <t>EERF</t>
  </si>
  <si>
    <t>System Benefits Charge</t>
  </si>
  <si>
    <t>SBC</t>
  </si>
  <si>
    <t>Renewable Energy Charge</t>
  </si>
  <si>
    <t>RNEW</t>
  </si>
  <si>
    <t>Basic Service Charge</t>
  </si>
  <si>
    <t>BS</t>
  </si>
  <si>
    <t>Total Energy</t>
  </si>
  <si>
    <t>Total Basic Service</t>
  </si>
  <si>
    <t>Western Massachusetts</t>
  </si>
  <si>
    <t xml:space="preserve">Rate R-2 Residential </t>
  </si>
  <si>
    <t>Low Income Discount</t>
  </si>
  <si>
    <t>Rate R-2 Residential</t>
  </si>
  <si>
    <t>Rate R-3 Residential</t>
  </si>
  <si>
    <t>Rate R-4 Residential</t>
  </si>
  <si>
    <t>Rate 23 - Optional Water Heating (Closed)</t>
  </si>
  <si>
    <t>Delivery Energy</t>
  </si>
  <si>
    <t>Basic Service</t>
  </si>
  <si>
    <t>Rate 24 Optional Church Service (Closed)</t>
  </si>
  <si>
    <t>kW</t>
  </si>
  <si>
    <t>Hours Use:</t>
  </si>
  <si>
    <t>Distribution Demand &lt;=2 kW</t>
  </si>
  <si>
    <t>Distribution Demand &gt;2 kW</t>
  </si>
  <si>
    <t>Transmission Demand &lt;=2 kW</t>
  </si>
  <si>
    <t>Transmission Demand &gt;2 kW</t>
  </si>
  <si>
    <t>Delivery Demand &lt;=2 kW</t>
  </si>
  <si>
    <t>Delivery Demand &gt;2 kW</t>
  </si>
  <si>
    <t>Greater Boston Service Area</t>
  </si>
  <si>
    <t>Rate G1 Small General Service (Non-Demand)</t>
  </si>
  <si>
    <t>Cambridge Service Area</t>
  </si>
  <si>
    <t>Rate G1 Small General Service</t>
  </si>
  <si>
    <t>South Shore, Cape Cod, and Martha's Vineyard Service Area</t>
  </si>
  <si>
    <t>Rate G-1 Small General Service Demand</t>
  </si>
  <si>
    <t>Distribution Demand &lt;= 10 kW</t>
  </si>
  <si>
    <t>Distribution Demand &gt; 10 kW</t>
  </si>
  <si>
    <t>Transmisison Demand &lt;= 10 kW</t>
  </si>
  <si>
    <t>Transmisison Demand &gt; 10 kW</t>
  </si>
  <si>
    <t>Delivery Demand &lt;= 10 kW</t>
  </si>
  <si>
    <t>Delivery Demand &gt; 10 kW</t>
  </si>
  <si>
    <t>Rate G-4 General Power (Closed)</t>
  </si>
  <si>
    <t>Distribution Demand</t>
  </si>
  <si>
    <t>Transmission Demand</t>
  </si>
  <si>
    <t>Delivery Demand</t>
  </si>
  <si>
    <t xml:space="preserve">Delivery Energy </t>
  </si>
  <si>
    <t>Rate G-5 Commercial Space Heating (Closed)</t>
  </si>
  <si>
    <t>Distribution</t>
  </si>
  <si>
    <t>Transmission</t>
  </si>
  <si>
    <t>Rate G-6 All Electric School (Closed)</t>
  </si>
  <si>
    <t>Rate G-6 Optional Time of Use (Closed)</t>
  </si>
  <si>
    <t>Distribution Energy - Peak</t>
  </si>
  <si>
    <t>Distribution Energy - Low Load</t>
  </si>
  <si>
    <t>Transmission Energy - Peak</t>
  </si>
  <si>
    <t>Transmission Energy - Low Load</t>
  </si>
  <si>
    <t>Basic Service Charge (average)</t>
  </si>
  <si>
    <t>On-Peak Use:</t>
  </si>
  <si>
    <t>Off-Peak Use:</t>
  </si>
  <si>
    <t>Delivery Energy - Peak</t>
  </si>
  <si>
    <t>Delivery Energy - Low Load</t>
  </si>
  <si>
    <t>Rate G-7 Optional General Time of Use (Closed)</t>
  </si>
  <si>
    <t>kVA</t>
  </si>
  <si>
    <t>Distribution Energy - Low A</t>
  </si>
  <si>
    <t>Peak Use:</t>
  </si>
  <si>
    <t>Low A Use:</t>
  </si>
  <si>
    <t>Total Delivery Demand</t>
  </si>
  <si>
    <t xml:space="preserve">Total Delivery Energy - Peak </t>
  </si>
  <si>
    <t>Total Delivery Energy - Low A</t>
  </si>
  <si>
    <t>Rate T-1 Optional Time of Use (Closed)</t>
  </si>
  <si>
    <t>2024 Monthly Bill (Winter)</t>
  </si>
  <si>
    <t>2025 Illustrative Monthly Bill (Winter)</t>
  </si>
  <si>
    <t>2026 Illustrative Monthly Bill (Winter)</t>
  </si>
  <si>
    <t>2027 Illustrative Monthly Bill (Winter)</t>
  </si>
  <si>
    <t>2024 Monthly Bill (Summer)</t>
  </si>
  <si>
    <t>2025 Illustrative Monthly Bill (Summer)</t>
  </si>
  <si>
    <t>2026 Illustrative Monthly Bill (Summer)</t>
  </si>
  <si>
    <t>2027 Illustrative Monthly Bill (Summer)</t>
  </si>
  <si>
    <t>Distribution Energy Peak - Winter</t>
  </si>
  <si>
    <t>Distribution Energy Off Peak - Winter</t>
  </si>
  <si>
    <t>Distribution Energy Peak - Summer</t>
  </si>
  <si>
    <t>Distribution Energy Off Peak - Summer</t>
  </si>
  <si>
    <t>Transmission Energy Peak - Winter</t>
  </si>
  <si>
    <t>Transmission Energy Off Peak - Winter</t>
  </si>
  <si>
    <t>Transmission Energy Peak - Summer</t>
  </si>
  <si>
    <t>Transmission Energy Off Peak - Summer</t>
  </si>
  <si>
    <t>Winter</t>
  </si>
  <si>
    <t>Summer</t>
  </si>
  <si>
    <t>Delivery Energy Peak - Winter</t>
  </si>
  <si>
    <t>Delivery Energy Off Peak - Winter</t>
  </si>
  <si>
    <t>Delivery Energy Peak - Summer</t>
  </si>
  <si>
    <t>Delivery Energy Off Peak - Summer</t>
  </si>
  <si>
    <t>Greater Boston Service Area (NEMA)</t>
  </si>
  <si>
    <t>Rate G-2 Medium General Service</t>
  </si>
  <si>
    <t>Customer Charge kW &lt;=150</t>
  </si>
  <si>
    <t>Customer Charge 150 &lt; kW &lt;= 300</t>
  </si>
  <si>
    <t>Customer Charge 300 &lt; kW &lt;= 1000</t>
  </si>
  <si>
    <t>Customer Charge kW &gt;1000</t>
  </si>
  <si>
    <t>Greater Boston Service Area (SEMA)</t>
  </si>
  <si>
    <t>Rate T-4 Optional Medium General Service Time of Use</t>
  </si>
  <si>
    <t>Distribution Energy - Off Peak</t>
  </si>
  <si>
    <t>Delivery Energy - Off Peak</t>
  </si>
  <si>
    <t>Rate G-3 Large General Service</t>
  </si>
  <si>
    <t xml:space="preserve">Hours Use: </t>
  </si>
  <si>
    <t>Transmission Demand &lt;=100 kVA</t>
  </si>
  <si>
    <t>Transmission Demand &gt;100 kVA</t>
  </si>
  <si>
    <t>Delivery Demand &lt;=100 kVA (Flat Charge)</t>
  </si>
  <si>
    <t>Delivery Demand &lt;=100 kVA</t>
  </si>
  <si>
    <t>Delivery Demand &gt;100 kVA</t>
  </si>
  <si>
    <t>Rate G-3 Large General</t>
  </si>
  <si>
    <t>Customer Charge 350 &lt; kW &lt; 1000</t>
  </si>
  <si>
    <t>Customer Charge 1000 &lt;= kW &lt; 1500</t>
  </si>
  <si>
    <t>Customer Charge 1500 &lt;= kW &lt; 2500</t>
  </si>
  <si>
    <t xml:space="preserve">Distribution Demand </t>
  </si>
  <si>
    <t>Rate T-5 Extra Large General Service</t>
  </si>
  <si>
    <t>*Transmission On Peak Demand Charge is being used to calculate bill impacts</t>
  </si>
  <si>
    <t xml:space="preserve">Summary of Illustrative Monthly Bill Impact - Participant </t>
  </si>
  <si>
    <t>Pre-Participation</t>
  </si>
  <si>
    <t>Low Participation</t>
  </si>
  <si>
    <t>Medium Participation</t>
  </si>
  <si>
    <t>High Participation</t>
  </si>
  <si>
    <t>Change from 2024 Bill</t>
  </si>
  <si>
    <t>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</si>
</sst>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_);\(&quot;$&quot;#,##0.00\);_(&quot;$&quot;\ &quot;-&quot;??_)"/>
    <numFmt numFmtId="167" formatCode="&quot;$&quot;#,##0.00000_);\(&quot;$&quot;#,##0.00000\)"/>
    <numFmt numFmtId="168" formatCode="&quot;$&quot;#,##0.00000_);\(&quot;$&quot;#,##0.00000\);_(&quot;$&quot;\ &quot;       -&quot;??_)"/>
    <numFmt numFmtId="169" formatCode="0.000000_)"/>
    <numFmt numFmtId="170" formatCode="_(&quot;$&quot;* #,##0.00000_);_(&quot;$&quot;* \(#,##0.00000\);_(&quot;$&quot;* &quot;-&quot;??_);_(@_)"/>
    <numFmt numFmtId="171" formatCode="_(&quot;$&quot;* #,##0.00_);_(&quot;$&quot;* \(#,##0.00\);_(&quot;$&quot;* &quot;-&quot;?????_);_(@_)"/>
    <numFmt numFmtId="172" formatCode="[$-409]mmmm\ d\,\ yyyy;@"/>
    <numFmt numFmtId="173" formatCode="0.00_)"/>
  </numFmts>
  <fonts count="19" x14ac:knownFonts="1"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0"/>
      <name val="Courier"/>
      <family val="3"/>
    </font>
    <font>
      <b/>
      <sz val="11"/>
      <name val="Arial"/>
      <family val="2"/>
    </font>
    <font>
      <b/>
      <sz val="11"/>
      <color theme="0" tint="-0.499984740745262"/>
      <name val="Times New Roman"/>
      <family val="1"/>
    </font>
    <font>
      <sz val="12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color theme="1"/>
      <name val="Calibri"/>
      <family val="2"/>
    </font>
    <font>
      <sz val="11"/>
      <color theme="0" tint="-0.499984740745262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u val="singleAccounting"/>
      <sz val="11"/>
      <color indexed="8"/>
      <name val="Times New Roman"/>
      <family val="1"/>
    </font>
    <font>
      <sz val="11"/>
      <color theme="0" tint="-0.499984740745262"/>
      <name val="Arial"/>
      <family val="2"/>
    </font>
    <font>
      <sz val="10"/>
      <color theme="0" tint="-0.499984740745262"/>
      <name val="Times New Roman"/>
      <family val="1"/>
    </font>
    <font>
      <sz val="11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8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7" fontId="2" fillId="0" borderId="0" xfId="0" applyNumberFormat="1" applyFont="1"/>
    <xf numFmtId="7" fontId="2" fillId="0" borderId="0" xfId="1" applyNumberFormat="1" applyFont="1"/>
    <xf numFmtId="7" fontId="2" fillId="0" borderId="0" xfId="1" applyNumberFormat="1" applyFont="1" applyFill="1"/>
    <xf numFmtId="7" fontId="2" fillId="0" borderId="0" xfId="0" applyNumberFormat="1" applyFont="1"/>
    <xf numFmtId="165" fontId="2" fillId="0" borderId="0" xfId="2" applyNumberFormat="1" applyFont="1" applyFill="1" applyAlignment="1">
      <alignment horizontal="right"/>
    </xf>
    <xf numFmtId="44" fontId="2" fillId="0" borderId="0" xfId="1" applyFont="1" applyFill="1"/>
    <xf numFmtId="165" fontId="2" fillId="0" borderId="0" xfId="2" applyNumberFormat="1" applyFont="1" applyFill="1"/>
    <xf numFmtId="44" fontId="2" fillId="0" borderId="0" xfId="1" applyFont="1"/>
    <xf numFmtId="0" fontId="2" fillId="0" borderId="0" xfId="3" applyFont="1" applyAlignment="1">
      <alignment horizontal="center"/>
    </xf>
    <xf numFmtId="0" fontId="2" fillId="0" borderId="0" xfId="3" applyFont="1"/>
    <xf numFmtId="0" fontId="6" fillId="0" borderId="0" xfId="4" applyFont="1"/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/>
    <xf numFmtId="10" fontId="2" fillId="0" borderId="0" xfId="4" applyNumberFormat="1" applyFont="1" applyAlignment="1">
      <alignment horizontal="right"/>
    </xf>
    <xf numFmtId="10" fontId="2" fillId="0" borderId="0" xfId="4" applyNumberFormat="1" applyFont="1"/>
    <xf numFmtId="0" fontId="2" fillId="0" borderId="0" xfId="5" applyFont="1" applyAlignment="1">
      <alignment horizontal="center"/>
    </xf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centerContinuous"/>
    </xf>
    <xf numFmtId="0" fontId="4" fillId="0" borderId="0" xfId="4" applyFont="1" applyAlignment="1">
      <alignment horizontal="center"/>
    </xf>
    <xf numFmtId="37" fontId="2" fillId="0" borderId="0" xfId="4" applyNumberFormat="1" applyFont="1" applyAlignment="1" applyProtection="1">
      <alignment horizontal="center"/>
      <protection locked="0"/>
    </xf>
    <xf numFmtId="7" fontId="2" fillId="0" borderId="0" xfId="4" applyNumberFormat="1" applyFont="1" applyAlignment="1">
      <alignment horizontal="center"/>
    </xf>
    <xf numFmtId="7" fontId="2" fillId="0" borderId="0" xfId="4" applyNumberFormat="1" applyFont="1"/>
    <xf numFmtId="165" fontId="2" fillId="0" borderId="0" xfId="6" applyNumberFormat="1" applyFont="1" applyFill="1" applyAlignment="1">
      <alignment horizontal="center"/>
    </xf>
    <xf numFmtId="165" fontId="2" fillId="0" borderId="0" xfId="6" applyNumberFormat="1" applyFont="1" applyAlignment="1">
      <alignment horizontal="center"/>
    </xf>
    <xf numFmtId="0" fontId="7" fillId="0" borderId="0" xfId="4" applyFont="1"/>
    <xf numFmtId="37" fontId="3" fillId="0" borderId="0" xfId="4" applyNumberFormat="1" applyFont="1" applyAlignment="1" applyProtection="1">
      <alignment horizontal="center"/>
      <protection locked="0"/>
    </xf>
    <xf numFmtId="7" fontId="3" fillId="0" borderId="0" xfId="4" applyNumberFormat="1" applyFont="1" applyAlignment="1">
      <alignment horizontal="center"/>
    </xf>
    <xf numFmtId="7" fontId="3" fillId="0" borderId="0" xfId="4" applyNumberFormat="1" applyFont="1"/>
    <xf numFmtId="0" fontId="2" fillId="0" borderId="0" xfId="7" applyFont="1"/>
    <xf numFmtId="0" fontId="9" fillId="0" borderId="0" xfId="8" quotePrefix="1" applyNumberFormat="1" applyFont="1" applyAlignment="1">
      <alignment horizontal="right"/>
    </xf>
    <xf numFmtId="43" fontId="2" fillId="0" borderId="0" xfId="8" applyFont="1" applyAlignment="1">
      <alignment horizontal="center"/>
    </xf>
    <xf numFmtId="43" fontId="10" fillId="0" borderId="0" xfId="8" applyFont="1" applyAlignment="1">
      <alignment horizontal="right"/>
    </xf>
    <xf numFmtId="43" fontId="10" fillId="0" borderId="0" xfId="8" applyFont="1" applyAlignment="1">
      <alignment horizontal="center"/>
    </xf>
    <xf numFmtId="7" fontId="9" fillId="0" borderId="0" xfId="9" applyNumberFormat="1" applyFont="1"/>
    <xf numFmtId="166" fontId="2" fillId="0" borderId="0" xfId="0" applyNumberFormat="1" applyFont="1"/>
    <xf numFmtId="0" fontId="12" fillId="0" borderId="0" xfId="3" applyFont="1" applyAlignment="1">
      <alignment horizontal="center"/>
    </xf>
    <xf numFmtId="0" fontId="9" fillId="0" borderId="0" xfId="9" applyFont="1" applyAlignment="1">
      <alignment horizontal="left"/>
    </xf>
    <xf numFmtId="167" fontId="9" fillId="0" borderId="0" xfId="9" applyNumberFormat="1" applyFont="1"/>
    <xf numFmtId="168" fontId="2" fillId="0" borderId="0" xfId="3" applyNumberFormat="1" applyFont="1"/>
    <xf numFmtId="167" fontId="2" fillId="0" borderId="0" xfId="4" applyNumberFormat="1" applyFont="1"/>
    <xf numFmtId="0" fontId="3" fillId="0" borderId="0" xfId="4" applyFont="1"/>
    <xf numFmtId="0" fontId="13" fillId="0" borderId="0" xfId="3" applyFont="1" applyAlignment="1">
      <alignment horizontal="center"/>
    </xf>
    <xf numFmtId="0" fontId="13" fillId="0" borderId="0" xfId="3" applyFont="1"/>
    <xf numFmtId="0" fontId="9" fillId="0" borderId="0" xfId="8" quotePrefix="1" applyNumberFormat="1" applyFont="1" applyAlignment="1">
      <alignment horizontal="center"/>
    </xf>
    <xf numFmtId="43" fontId="2" fillId="0" borderId="0" xfId="8" applyFont="1" applyProtection="1"/>
    <xf numFmtId="0" fontId="3" fillId="0" borderId="0" xfId="4" quotePrefix="1" applyFont="1" applyAlignment="1">
      <alignment horizontal="center"/>
    </xf>
    <xf numFmtId="0" fontId="7" fillId="0" borderId="0" xfId="4" quotePrefix="1" applyFont="1" applyAlignment="1">
      <alignment horizontal="center"/>
    </xf>
    <xf numFmtId="7" fontId="3" fillId="0" borderId="0" xfId="4" applyNumberFormat="1" applyFont="1" applyAlignment="1">
      <alignment horizontal="left"/>
    </xf>
    <xf numFmtId="9" fontId="2" fillId="0" borderId="0" xfId="2" applyFont="1"/>
    <xf numFmtId="9" fontId="9" fillId="0" borderId="0" xfId="2" applyFont="1"/>
    <xf numFmtId="0" fontId="3" fillId="0" borderId="0" xfId="3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3" fillId="0" borderId="0" xfId="4" applyFont="1" applyAlignment="1">
      <alignment horizontal="centerContinuous"/>
    </xf>
    <xf numFmtId="0" fontId="2" fillId="0" borderId="0" xfId="4" applyFont="1" applyAlignment="1">
      <alignment horizontal="centerContinuous"/>
    </xf>
    <xf numFmtId="0" fontId="2" fillId="0" borderId="0" xfId="4" applyFont="1" applyAlignment="1">
      <alignment horizontal="right"/>
    </xf>
    <xf numFmtId="49" fontId="2" fillId="0" borderId="0" xfId="4" applyNumberFormat="1" applyFont="1" applyAlignment="1">
      <alignment horizontal="centerContinuous"/>
    </xf>
    <xf numFmtId="0" fontId="2" fillId="0" borderId="0" xfId="3" applyFont="1" applyAlignment="1">
      <alignment horizontal="centerContinuous"/>
    </xf>
    <xf numFmtId="169" fontId="2" fillId="0" borderId="0" xfId="4" applyNumberFormat="1" applyFont="1"/>
    <xf numFmtId="0" fontId="12" fillId="0" borderId="0" xfId="4" applyFont="1"/>
    <xf numFmtId="37" fontId="2" fillId="0" borderId="0" xfId="10" applyNumberFormat="1" applyFont="1" applyAlignment="1" applyProtection="1">
      <alignment horizontal="center"/>
      <protection locked="0"/>
    </xf>
    <xf numFmtId="37" fontId="2" fillId="0" borderId="0" xfId="10" applyNumberFormat="1" applyFont="1" applyAlignment="1" applyProtection="1">
      <alignment horizontal="right"/>
      <protection locked="0"/>
    </xf>
    <xf numFmtId="37" fontId="3" fillId="0" borderId="0" xfId="10" applyNumberFormat="1" applyFont="1" applyAlignment="1" applyProtection="1">
      <alignment horizontal="right"/>
      <protection locked="0"/>
    </xf>
    <xf numFmtId="165" fontId="3" fillId="0" borderId="0" xfId="4" applyNumberFormat="1" applyFont="1" applyAlignment="1">
      <alignment horizontal="center"/>
    </xf>
    <xf numFmtId="44" fontId="12" fillId="0" borderId="0" xfId="1" applyFont="1" applyFill="1" applyBorder="1" applyProtection="1"/>
    <xf numFmtId="7" fontId="13" fillId="0" borderId="0" xfId="0" applyNumberFormat="1" applyFont="1"/>
    <xf numFmtId="10" fontId="2" fillId="0" borderId="0" xfId="4" applyNumberFormat="1" applyFont="1" applyAlignment="1">
      <alignment horizontal="center"/>
    </xf>
    <xf numFmtId="43" fontId="14" fillId="0" borderId="0" xfId="8" applyFont="1" applyFill="1" applyAlignment="1" applyProtection="1">
      <alignment horizontal="right"/>
    </xf>
    <xf numFmtId="0" fontId="9" fillId="0" borderId="0" xfId="8" quotePrefix="1" applyNumberFormat="1" applyFont="1" applyFill="1" applyAlignment="1">
      <alignment horizontal="right"/>
    </xf>
    <xf numFmtId="43" fontId="15" fillId="0" borderId="0" xfId="8" applyFont="1" applyFill="1" applyAlignment="1" applyProtection="1">
      <alignment horizontal="right"/>
    </xf>
    <xf numFmtId="7" fontId="2" fillId="0" borderId="0" xfId="3" applyNumberFormat="1" applyFont="1"/>
    <xf numFmtId="7" fontId="14" fillId="0" borderId="0" xfId="1" applyNumberFormat="1" applyFont="1" applyFill="1" applyProtection="1">
      <protection locked="0"/>
    </xf>
    <xf numFmtId="7" fontId="14" fillId="0" borderId="0" xfId="1" applyNumberFormat="1" applyFont="1" applyFill="1" applyProtection="1"/>
    <xf numFmtId="0" fontId="16" fillId="0" borderId="0" xfId="3" applyFont="1" applyAlignment="1">
      <alignment horizontal="center"/>
    </xf>
    <xf numFmtId="167" fontId="14" fillId="0" borderId="0" xfId="1" applyNumberFormat="1" applyFont="1" applyFill="1" applyProtection="1">
      <protection locked="0"/>
    </xf>
    <xf numFmtId="167" fontId="14" fillId="0" borderId="0" xfId="1" applyNumberFormat="1" applyFont="1" applyFill="1" applyProtection="1"/>
    <xf numFmtId="167" fontId="2" fillId="0" borderId="0" xfId="7" applyNumberFormat="1" applyFont="1"/>
    <xf numFmtId="170" fontId="2" fillId="0" borderId="0" xfId="4" applyNumberFormat="1" applyFont="1"/>
    <xf numFmtId="168" fontId="2" fillId="0" borderId="0" xfId="0" applyNumberFormat="1" applyFont="1"/>
    <xf numFmtId="37" fontId="17" fillId="0" borderId="0" xfId="0" applyNumberFormat="1" applyFont="1"/>
    <xf numFmtId="37" fontId="12" fillId="0" borderId="0" xfId="10" applyNumberFormat="1" applyFont="1" applyAlignment="1" applyProtection="1">
      <alignment horizontal="center"/>
      <protection locked="0"/>
    </xf>
    <xf numFmtId="7" fontId="12" fillId="0" borderId="0" xfId="4" applyNumberFormat="1" applyFont="1" applyAlignment="1">
      <alignment horizontal="center"/>
    </xf>
    <xf numFmtId="165" fontId="12" fillId="0" borderId="0" xfId="4" applyNumberFormat="1" applyFont="1" applyAlignment="1">
      <alignment horizontal="center"/>
    </xf>
    <xf numFmtId="0" fontId="2" fillId="0" borderId="0" xfId="11" applyFont="1" applyAlignment="1">
      <alignment horizontal="centerContinuous"/>
    </xf>
    <xf numFmtId="0" fontId="2" fillId="0" borderId="0" xfId="11" applyFont="1" applyAlignment="1">
      <alignment horizontal="right"/>
    </xf>
    <xf numFmtId="0" fontId="2" fillId="0" borderId="0" xfId="11" applyFont="1"/>
    <xf numFmtId="0" fontId="2" fillId="0" borderId="0" xfId="11" applyFont="1" applyAlignment="1">
      <alignment horizontal="center"/>
    </xf>
    <xf numFmtId="10" fontId="2" fillId="0" borderId="0" xfId="11" applyNumberFormat="1" applyFont="1"/>
    <xf numFmtId="0" fontId="2" fillId="0" borderId="0" xfId="7" applyFont="1" applyAlignment="1">
      <alignment horizontal="center"/>
    </xf>
    <xf numFmtId="37" fontId="2" fillId="0" borderId="0" xfId="7" applyNumberFormat="1" applyFont="1" applyAlignment="1" applyProtection="1">
      <alignment horizontal="center"/>
      <protection locked="0"/>
    </xf>
    <xf numFmtId="37" fontId="2" fillId="0" borderId="0" xfId="7" applyNumberFormat="1" applyFont="1" applyAlignment="1">
      <alignment horizontal="center"/>
    </xf>
    <xf numFmtId="165" fontId="2" fillId="0" borderId="0" xfId="4" applyNumberFormat="1" applyFont="1" applyAlignment="1">
      <alignment horizontal="center"/>
    </xf>
    <xf numFmtId="8" fontId="2" fillId="0" borderId="0" xfId="11" applyNumberFormat="1" applyFont="1"/>
    <xf numFmtId="7" fontId="2" fillId="0" borderId="0" xfId="11" applyNumberFormat="1" applyFont="1"/>
    <xf numFmtId="37" fontId="2" fillId="0" borderId="0" xfId="11" applyNumberFormat="1" applyFont="1" applyAlignment="1" applyProtection="1">
      <alignment horizontal="center"/>
      <protection locked="0"/>
    </xf>
    <xf numFmtId="7" fontId="2" fillId="0" borderId="0" xfId="2" applyNumberFormat="1" applyFont="1" applyFill="1" applyAlignment="1" applyProtection="1">
      <alignment horizontal="center"/>
    </xf>
    <xf numFmtId="171" fontId="2" fillId="0" borderId="0" xfId="4" applyNumberFormat="1" applyFont="1" applyAlignment="1">
      <alignment horizontal="center"/>
    </xf>
    <xf numFmtId="37" fontId="2" fillId="0" borderId="0" xfId="11" applyNumberFormat="1" applyFont="1" applyAlignment="1">
      <alignment horizontal="center"/>
    </xf>
    <xf numFmtId="165" fontId="2" fillId="0" borderId="0" xfId="2" applyNumberFormat="1" applyFont="1" applyFill="1" applyAlignment="1" applyProtection="1">
      <alignment horizontal="center"/>
    </xf>
    <xf numFmtId="8" fontId="2" fillId="0" borderId="0" xfId="4" applyNumberFormat="1" applyFont="1" applyAlignment="1">
      <alignment horizontal="center"/>
    </xf>
    <xf numFmtId="44" fontId="15" fillId="0" borderId="0" xfId="1" applyFont="1" applyFill="1" applyAlignment="1" applyProtection="1">
      <alignment horizontal="right"/>
    </xf>
    <xf numFmtId="169" fontId="2" fillId="0" borderId="0" xfId="11" applyNumberFormat="1" applyFont="1"/>
    <xf numFmtId="167" fontId="2" fillId="0" borderId="0" xfId="11" applyNumberFormat="1" applyFont="1"/>
    <xf numFmtId="44" fontId="2" fillId="0" borderId="0" xfId="11" applyNumberFormat="1" applyFont="1"/>
    <xf numFmtId="44" fontId="18" fillId="0" borderId="0" xfId="11" applyNumberFormat="1" applyFont="1"/>
    <xf numFmtId="170" fontId="2" fillId="0" borderId="0" xfId="11" applyNumberFormat="1" applyFont="1"/>
    <xf numFmtId="37" fontId="18" fillId="0" borderId="0" xfId="11" applyNumberFormat="1" applyFont="1" applyProtection="1">
      <protection locked="0"/>
    </xf>
    <xf numFmtId="39" fontId="2" fillId="0" borderId="0" xfId="11" applyNumberFormat="1" applyFont="1"/>
    <xf numFmtId="37" fontId="2" fillId="0" borderId="0" xfId="11" applyNumberFormat="1" applyFont="1" applyProtection="1">
      <protection locked="0"/>
    </xf>
    <xf numFmtId="37" fontId="2" fillId="0" borderId="0" xfId="11" applyNumberFormat="1" applyFont="1"/>
    <xf numFmtId="37" fontId="12" fillId="0" borderId="0" xfId="11" applyNumberFormat="1" applyFont="1"/>
    <xf numFmtId="37" fontId="12" fillId="0" borderId="0" xfId="11" applyNumberFormat="1" applyFont="1" applyAlignment="1">
      <alignment horizontal="center"/>
    </xf>
    <xf numFmtId="7" fontId="12" fillId="0" borderId="0" xfId="2" applyNumberFormat="1" applyFont="1" applyFill="1" applyAlignment="1" applyProtection="1">
      <alignment horizontal="center"/>
    </xf>
    <xf numFmtId="7" fontId="12" fillId="0" borderId="0" xfId="11" applyNumberFormat="1" applyFont="1"/>
    <xf numFmtId="0" fontId="3" fillId="0" borderId="0" xfId="7" applyFont="1" applyAlignment="1">
      <alignment horizontal="center"/>
    </xf>
    <xf numFmtId="10" fontId="2" fillId="0" borderId="0" xfId="7" applyNumberFormat="1" applyFont="1" applyAlignment="1">
      <alignment horizontal="right"/>
    </xf>
    <xf numFmtId="10" fontId="2" fillId="0" borderId="0" xfId="7" applyNumberFormat="1" applyFont="1"/>
    <xf numFmtId="0" fontId="2" fillId="0" borderId="1" xfId="4" applyFont="1" applyBorder="1" applyAlignment="1">
      <alignment horizontal="center"/>
    </xf>
    <xf numFmtId="0" fontId="4" fillId="0" borderId="0" xfId="7" applyFont="1" applyAlignment="1">
      <alignment horizontal="center"/>
    </xf>
    <xf numFmtId="7" fontId="2" fillId="0" borderId="0" xfId="7" applyNumberFormat="1" applyFont="1" applyAlignment="1">
      <alignment horizontal="center"/>
    </xf>
    <xf numFmtId="7" fontId="2" fillId="0" borderId="0" xfId="7" applyNumberFormat="1" applyFont="1"/>
    <xf numFmtId="165" fontId="2" fillId="0" borderId="0" xfId="2" applyNumberFormat="1" applyFont="1" applyFill="1" applyAlignment="1">
      <alignment horizontal="center"/>
    </xf>
    <xf numFmtId="8" fontId="2" fillId="0" borderId="0" xfId="1" applyNumberFormat="1" applyFont="1" applyFill="1"/>
    <xf numFmtId="8" fontId="2" fillId="0" borderId="0" xfId="7" applyNumberFormat="1" applyFont="1" applyAlignment="1">
      <alignment horizontal="center"/>
    </xf>
    <xf numFmtId="39" fontId="2" fillId="0" borderId="0" xfId="7" applyNumberFormat="1" applyFont="1"/>
    <xf numFmtId="10" fontId="2" fillId="0" borderId="0" xfId="7" applyNumberFormat="1" applyFont="1" applyAlignment="1">
      <alignment horizontal="center"/>
    </xf>
    <xf numFmtId="7" fontId="2" fillId="0" borderId="0" xfId="1" applyNumberFormat="1" applyFont="1" applyFill="1" applyProtection="1"/>
    <xf numFmtId="170" fontId="14" fillId="0" borderId="0" xfId="1" applyNumberFormat="1" applyFont="1" applyFill="1" applyProtection="1">
      <protection locked="0"/>
    </xf>
    <xf numFmtId="0" fontId="12" fillId="0" borderId="0" xfId="0" applyFont="1"/>
    <xf numFmtId="37" fontId="12" fillId="0" borderId="0" xfId="7" applyNumberFormat="1" applyFont="1" applyAlignment="1" applyProtection="1">
      <alignment horizontal="center"/>
      <protection locked="0"/>
    </xf>
    <xf numFmtId="7" fontId="12" fillId="0" borderId="0" xfId="7" applyNumberFormat="1" applyFont="1" applyAlignment="1">
      <alignment horizontal="center"/>
    </xf>
    <xf numFmtId="7" fontId="12" fillId="0" borderId="0" xfId="7" applyNumberFormat="1" applyFont="1"/>
    <xf numFmtId="165" fontId="12" fillId="0" borderId="0" xfId="2" applyNumberFormat="1" applyFont="1" applyFill="1" applyAlignment="1">
      <alignment horizontal="center"/>
    </xf>
    <xf numFmtId="169" fontId="2" fillId="0" borderId="0" xfId="7" applyNumberFormat="1" applyFont="1"/>
    <xf numFmtId="0" fontId="3" fillId="0" borderId="0" xfId="7" applyFont="1" applyAlignment="1">
      <alignment horizontal="right"/>
    </xf>
    <xf numFmtId="0" fontId="3" fillId="0" borderId="0" xfId="12" applyFont="1"/>
    <xf numFmtId="37" fontId="3" fillId="0" borderId="0" xfId="7" applyNumberFormat="1" applyFont="1" applyAlignment="1" applyProtection="1">
      <alignment horizontal="center"/>
      <protection locked="0"/>
    </xf>
    <xf numFmtId="7" fontId="3" fillId="0" borderId="0" xfId="7" applyNumberFormat="1" applyFont="1" applyAlignment="1">
      <alignment horizontal="center"/>
    </xf>
    <xf numFmtId="8" fontId="3" fillId="0" borderId="0" xfId="7" applyNumberFormat="1" applyFont="1" applyAlignment="1">
      <alignment horizontal="center"/>
    </xf>
    <xf numFmtId="39" fontId="3" fillId="0" borderId="0" xfId="7" applyNumberFormat="1" applyFont="1"/>
    <xf numFmtId="0" fontId="3" fillId="0" borderId="0" xfId="7" applyFont="1"/>
    <xf numFmtId="167" fontId="12" fillId="0" borderId="0" xfId="7" applyNumberFormat="1" applyFont="1"/>
    <xf numFmtId="37" fontId="3" fillId="0" borderId="0" xfId="7" applyNumberFormat="1" applyFont="1" applyAlignment="1">
      <alignment horizontal="center"/>
    </xf>
    <xf numFmtId="7" fontId="3" fillId="0" borderId="0" xfId="7" applyNumberFormat="1" applyFont="1"/>
    <xf numFmtId="165" fontId="3" fillId="0" borderId="0" xfId="2" applyNumberFormat="1" applyFont="1" applyFill="1" applyAlignment="1">
      <alignment horizontal="center"/>
    </xf>
    <xf numFmtId="7" fontId="14" fillId="0" borderId="0" xfId="1" applyNumberFormat="1" applyFont="1" applyFill="1" applyBorder="1" applyProtection="1">
      <protection locked="0"/>
    </xf>
    <xf numFmtId="167" fontId="14" fillId="0" borderId="0" xfId="1" applyNumberFormat="1" applyFont="1" applyFill="1" applyBorder="1" applyProtection="1">
      <protection locked="0"/>
    </xf>
    <xf numFmtId="37" fontId="12" fillId="0" borderId="0" xfId="7" applyNumberFormat="1" applyFont="1" applyAlignment="1">
      <alignment horizontal="center"/>
    </xf>
    <xf numFmtId="0" fontId="2" fillId="0" borderId="0" xfId="7" applyFont="1" applyAlignment="1">
      <alignment horizontal="left"/>
    </xf>
    <xf numFmtId="0" fontId="2" fillId="0" borderId="0" xfId="12" applyFont="1"/>
    <xf numFmtId="0" fontId="3" fillId="0" borderId="0" xfId="13" applyFont="1"/>
    <xf numFmtId="0" fontId="3" fillId="0" borderId="0" xfId="7" quotePrefix="1" applyFont="1" applyAlignment="1">
      <alignment horizontal="left"/>
    </xf>
    <xf numFmtId="44" fontId="14" fillId="0" borderId="0" xfId="1" applyFont="1" applyFill="1" applyAlignment="1" applyProtection="1">
      <alignment horizontal="right"/>
    </xf>
    <xf numFmtId="37" fontId="12" fillId="0" borderId="0" xfId="7" applyNumberFormat="1" applyFont="1" applyAlignment="1" applyProtection="1">
      <alignment horizontal="left"/>
      <protection locked="0"/>
    </xf>
    <xf numFmtId="0" fontId="17" fillId="0" borderId="0" xfId="0" applyFont="1"/>
    <xf numFmtId="7" fontId="18" fillId="0" borderId="0" xfId="1" applyNumberFormat="1" applyFont="1" applyFill="1" applyBorder="1"/>
    <xf numFmtId="0" fontId="2" fillId="0" borderId="0" xfId="14" applyFont="1" applyAlignment="1">
      <alignment horizontal="left"/>
    </xf>
    <xf numFmtId="9" fontId="2" fillId="0" borderId="0" xfId="2" applyFont="1" applyFill="1" applyProtection="1">
      <protection locked="0"/>
    </xf>
    <xf numFmtId="7" fontId="18" fillId="0" borderId="0" xfId="7" applyNumberFormat="1" applyFont="1"/>
    <xf numFmtId="7" fontId="18" fillId="0" borderId="0" xfId="8" applyNumberFormat="1" applyFont="1" applyFill="1" applyBorder="1"/>
    <xf numFmtId="167" fontId="2" fillId="0" borderId="0" xfId="1" applyNumberFormat="1" applyFont="1" applyFill="1" applyProtection="1"/>
    <xf numFmtId="0" fontId="2" fillId="0" borderId="0" xfId="14" applyFont="1"/>
    <xf numFmtId="9" fontId="2" fillId="0" borderId="0" xfId="14" applyNumberFormat="1" applyFont="1" applyProtection="1">
      <protection locked="0"/>
    </xf>
    <xf numFmtId="37" fontId="12" fillId="0" borderId="0" xfId="7" applyNumberFormat="1" applyFont="1" applyAlignment="1">
      <alignment horizontal="left"/>
    </xf>
    <xf numFmtId="0" fontId="12" fillId="0" borderId="0" xfId="7" applyFont="1"/>
    <xf numFmtId="37" fontId="18" fillId="0" borderId="0" xfId="7" applyNumberFormat="1" applyFont="1" applyAlignment="1">
      <alignment horizontal="center"/>
    </xf>
    <xf numFmtId="44" fontId="2" fillId="0" borderId="0" xfId="1" applyFont="1" applyFill="1" applyProtection="1"/>
    <xf numFmtId="44" fontId="14" fillId="0" borderId="0" xfId="1" applyFont="1" applyFill="1" applyBorder="1" applyProtection="1"/>
    <xf numFmtId="0" fontId="2" fillId="0" borderId="0" xfId="7" applyFont="1" applyAlignment="1">
      <alignment horizontal="right"/>
    </xf>
    <xf numFmtId="9" fontId="2" fillId="0" borderId="0" xfId="2" applyFont="1" applyFill="1"/>
    <xf numFmtId="8" fontId="2" fillId="0" borderId="0" xfId="7" applyNumberFormat="1" applyFont="1"/>
    <xf numFmtId="44" fontId="18" fillId="0" borderId="0" xfId="1" applyFont="1" applyFill="1"/>
    <xf numFmtId="0" fontId="7" fillId="0" borderId="0" xfId="7" applyFont="1"/>
    <xf numFmtId="7" fontId="15" fillId="0" borderId="0" xfId="1" applyNumberFormat="1" applyFont="1" applyFill="1" applyAlignment="1" applyProtection="1">
      <alignment horizontal="right"/>
    </xf>
    <xf numFmtId="37" fontId="12" fillId="0" borderId="0" xfId="0" applyNumberFormat="1" applyFont="1"/>
    <xf numFmtId="5" fontId="2" fillId="0" borderId="0" xfId="7" applyNumberFormat="1" applyFont="1" applyAlignment="1">
      <alignment horizontal="center"/>
    </xf>
    <xf numFmtId="9" fontId="18" fillId="0" borderId="0" xfId="7" applyNumberFormat="1" applyFont="1"/>
    <xf numFmtId="7" fontId="2" fillId="0" borderId="0" xfId="15" applyNumberFormat="1" applyFont="1" applyAlignment="1">
      <alignment horizontal="center"/>
    </xf>
    <xf numFmtId="7" fontId="2" fillId="0" borderId="0" xfId="15" applyNumberFormat="1" applyFont="1"/>
    <xf numFmtId="9" fontId="2" fillId="0" borderId="0" xfId="15" applyNumberFormat="1" applyFont="1" applyProtection="1">
      <protection locked="0"/>
    </xf>
    <xf numFmtId="37" fontId="2" fillId="0" borderId="0" xfId="7" applyNumberFormat="1" applyFont="1" applyAlignment="1">
      <alignment horizontal="left"/>
    </xf>
    <xf numFmtId="44" fontId="14" fillId="0" borderId="0" xfId="1" applyFont="1" applyFill="1" applyProtection="1"/>
    <xf numFmtId="0" fontId="2" fillId="0" borderId="0" xfId="16" applyFont="1" applyAlignment="1">
      <alignment horizontal="centerContinuous"/>
    </xf>
    <xf numFmtId="0" fontId="3" fillId="0" borderId="0" xfId="4" applyFont="1" applyAlignment="1">
      <alignment horizontal="right"/>
    </xf>
    <xf numFmtId="0" fontId="2" fillId="0" borderId="0" xfId="16" applyFont="1"/>
    <xf numFmtId="0" fontId="2" fillId="0" borderId="0" xfId="17" applyFont="1" applyAlignment="1">
      <alignment horizontal="center"/>
    </xf>
    <xf numFmtId="172" fontId="3" fillId="0" borderId="0" xfId="3" applyNumberFormat="1" applyFont="1"/>
    <xf numFmtId="0" fontId="2" fillId="0" borderId="0" xfId="15" applyFont="1" applyAlignment="1">
      <alignment horizontal="center"/>
    </xf>
    <xf numFmtId="0" fontId="2" fillId="0" borderId="0" xfId="18" applyFont="1"/>
    <xf numFmtId="0" fontId="4" fillId="0" borderId="0" xfId="15" applyFont="1" applyAlignment="1">
      <alignment horizontal="center"/>
    </xf>
    <xf numFmtId="173" fontId="2" fillId="0" borderId="0" xfId="16" applyNumberFormat="1" applyFont="1"/>
    <xf numFmtId="0" fontId="2" fillId="0" borderId="0" xfId="18" applyFont="1" applyAlignment="1">
      <alignment horizontal="center"/>
    </xf>
    <xf numFmtId="0" fontId="2" fillId="0" borderId="0" xfId="16" applyFont="1" applyAlignment="1">
      <alignment horizontal="fill"/>
    </xf>
    <xf numFmtId="10" fontId="2" fillId="0" borderId="0" xfId="16" applyNumberFormat="1" applyFont="1"/>
    <xf numFmtId="7" fontId="2" fillId="0" borderId="0" xfId="16" applyNumberFormat="1" applyFont="1" applyAlignment="1">
      <alignment horizontal="center"/>
    </xf>
    <xf numFmtId="7" fontId="2" fillId="0" borderId="0" xfId="16" applyNumberFormat="1" applyFont="1"/>
    <xf numFmtId="7" fontId="2" fillId="0" borderId="0" xfId="18" applyNumberFormat="1" applyFont="1"/>
    <xf numFmtId="0" fontId="2" fillId="0" borderId="0" xfId="16" applyFont="1" applyAlignment="1">
      <alignment horizontal="center"/>
    </xf>
    <xf numFmtId="165" fontId="2" fillId="0" borderId="0" xfId="16" applyNumberFormat="1" applyFont="1" applyAlignment="1">
      <alignment horizontal="center"/>
    </xf>
    <xf numFmtId="37" fontId="2" fillId="0" borderId="0" xfId="16" applyNumberFormat="1" applyFont="1" applyAlignment="1">
      <alignment horizontal="center"/>
    </xf>
    <xf numFmtId="37" fontId="2" fillId="0" borderId="0" xfId="16" applyNumberFormat="1" applyFont="1" applyAlignment="1" applyProtection="1">
      <alignment horizontal="center"/>
      <protection locked="0"/>
    </xf>
    <xf numFmtId="43" fontId="2" fillId="0" borderId="0" xfId="8" applyFont="1" applyFill="1" applyProtection="1"/>
    <xf numFmtId="167" fontId="2" fillId="0" borderId="0" xfId="3" applyNumberFormat="1" applyFont="1"/>
    <xf numFmtId="170" fontId="2" fillId="0" borderId="0" xfId="1" applyNumberFormat="1" applyFont="1" applyFill="1" applyProtection="1"/>
    <xf numFmtId="167" fontId="2" fillId="0" borderId="0" xfId="16" applyNumberFormat="1" applyFont="1" applyAlignment="1">
      <alignment horizontal="fill"/>
    </xf>
    <xf numFmtId="167" fontId="2" fillId="0" borderId="0" xfId="16" applyNumberFormat="1" applyFont="1"/>
    <xf numFmtId="0" fontId="2" fillId="0" borderId="0" xfId="16" applyFont="1" applyAlignment="1">
      <alignment horizontal="left"/>
    </xf>
    <xf numFmtId="9" fontId="2" fillId="0" borderId="0" xfId="16" applyNumberFormat="1" applyFont="1" applyProtection="1">
      <protection locked="0"/>
    </xf>
    <xf numFmtId="37" fontId="12" fillId="0" borderId="0" xfId="16" applyNumberFormat="1" applyFont="1" applyAlignment="1">
      <alignment horizontal="center"/>
    </xf>
    <xf numFmtId="7" fontId="12" fillId="0" borderId="0" xfId="16" applyNumberFormat="1" applyFont="1" applyAlignment="1">
      <alignment horizontal="center"/>
    </xf>
    <xf numFmtId="7" fontId="12" fillId="0" borderId="0" xfId="16" applyNumberFormat="1" applyFont="1"/>
    <xf numFmtId="165" fontId="12" fillId="0" borderId="0" xfId="2" applyNumberFormat="1" applyFont="1" applyFill="1" applyAlignment="1" applyProtection="1">
      <alignment horizontal="center"/>
    </xf>
    <xf numFmtId="172" fontId="3" fillId="0" borderId="0" xfId="4" applyNumberFormat="1" applyFont="1"/>
    <xf numFmtId="0" fontId="4" fillId="0" borderId="0" xfId="4" applyFont="1" applyAlignment="1">
      <alignment horizontal="centerContinuous"/>
    </xf>
    <xf numFmtId="0" fontId="4" fillId="0" borderId="0" xfId="16" applyFont="1" applyAlignment="1">
      <alignment horizontal="center"/>
    </xf>
    <xf numFmtId="8" fontId="2" fillId="0" borderId="0" xfId="16" applyNumberFormat="1" applyFont="1" applyAlignment="1">
      <alignment horizontal="center"/>
    </xf>
    <xf numFmtId="37" fontId="2" fillId="0" borderId="0" xfId="16" applyNumberFormat="1" applyFont="1"/>
    <xf numFmtId="37" fontId="18" fillId="0" borderId="0" xfId="16" applyNumberFormat="1" applyFont="1" applyAlignment="1" applyProtection="1">
      <alignment horizontal="center"/>
      <protection locked="0"/>
    </xf>
    <xf numFmtId="8" fontId="2" fillId="0" borderId="0" xfId="16" applyNumberFormat="1" applyFont="1"/>
    <xf numFmtId="0" fontId="2" fillId="0" borderId="0" xfId="16" applyFont="1" applyAlignment="1">
      <alignment horizontal="right"/>
    </xf>
    <xf numFmtId="165" fontId="12" fillId="0" borderId="0" xfId="16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2" borderId="0" xfId="3" applyFont="1" applyFill="1" applyAlignment="1">
      <alignment horizontal="center"/>
    </xf>
    <xf numFmtId="9" fontId="2" fillId="0" borderId="0" xfId="0" applyNumberFormat="1" applyFont="1"/>
    <xf numFmtId="164" fontId="2" fillId="0" borderId="0" xfId="8" applyNumberFormat="1" applyFont="1" applyFill="1"/>
    <xf numFmtId="1" fontId="2" fillId="0" borderId="0" xfId="0" applyNumberFormat="1" applyFont="1"/>
    <xf numFmtId="164" fontId="2" fillId="0" borderId="0" xfId="0" applyNumberFormat="1" applyFont="1" applyAlignment="1">
      <alignment horizontal="right"/>
    </xf>
    <xf numFmtId="165" fontId="2" fillId="0" borderId="0" xfId="2" applyNumberFormat="1" applyFont="1" applyAlignment="1">
      <alignment horizontal="right"/>
    </xf>
  </cellXfs>
  <cellStyles count="19">
    <cellStyle name="Comma 3" xfId="8" xr:uid="{CA294F46-D724-49FB-BF5F-9FBCA0E94643}"/>
    <cellStyle name="Currency" xfId="1" builtinId="4"/>
    <cellStyle name="Normal" xfId="0" builtinId="0"/>
    <cellStyle name="Normal 12 2" xfId="9" xr:uid="{B4FE1142-B054-4BE7-8505-A7C03DC66ABA}"/>
    <cellStyle name="Normal 2 2" xfId="3" xr:uid="{040D7E61-D276-4B9F-BCCD-85BF9EEECF62}"/>
    <cellStyle name="Normal_24-CHURCH" xfId="11" xr:uid="{E4F7BBB9-027D-4D6E-B3DF-4582AD6566F3}"/>
    <cellStyle name="Normal_G-0 SM GEN SRV" xfId="17" xr:uid="{308CBF51-B35F-4B53-8D32-946C9AC53ACF}"/>
    <cellStyle name="Normal_G-2 PRI GEN SRV" xfId="18" xr:uid="{2EE3DC87-FD4C-45DA-B7F3-131B14E79468}"/>
    <cellStyle name="Normal_RATE 23 CWH" xfId="10" xr:uid="{A996D7FF-73C6-4A2B-BFC5-E7673E9EF526}"/>
    <cellStyle name="Normal_REGULAR R-1" xfId="4" xr:uid="{2A5F8583-C9B6-432F-96CC-A9CC14411D94}"/>
    <cellStyle name="Normal_REGULAR R-1_NSTAR Electric - BECo Rate Design Model" xfId="7" xr:uid="{B6E9E940-E390-4D05-8516-FBDDC303990E}"/>
    <cellStyle name="Normal_REGULAR R-1_NSTAR Electric - Camb Rate Design Model" xfId="12" xr:uid="{4CC9E796-476B-422A-B4EF-C5A5328966EE}"/>
    <cellStyle name="Normal_REGULAR R-1_NSTAR Electric - Comm Rate Design Model" xfId="13" xr:uid="{2E068837-0663-473C-915B-8F9EA3958B7A}"/>
    <cellStyle name="Normal_Revenue Shift" xfId="5" xr:uid="{973364AB-F28E-4FB2-AE70-1D1AAF8FDABC}"/>
    <cellStyle name="Normal_T-0 SM GEN TOU" xfId="15" xr:uid="{E96AFC72-9FC1-4E72-BDEF-19D31CC59001}"/>
    <cellStyle name="Normal_T-0 SM GEN TOU_NSTAR Electric - BECo Rate Design Model" xfId="14" xr:uid="{D30DF918-289B-42A7-B92B-2D4A7455F0CE}"/>
    <cellStyle name="Normal_T-2 LRG TOU" xfId="16" xr:uid="{CF68551B-F307-4245-AC24-1086B3CBF5A2}"/>
    <cellStyle name="Percent" xfId="2" builtinId="5"/>
    <cellStyle name="Percent 5 2" xfId="6" xr:uid="{1D736C17-10DD-408F-835A-5C9B9DE300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3892-2CE1-42DE-B595-1FF4FA505D13}">
  <sheetPr>
    <tabColor theme="9"/>
    <pageSetUpPr fitToPage="1"/>
  </sheetPr>
  <dimension ref="A1:Y121"/>
  <sheetViews>
    <sheetView tabSelected="1" zoomScaleNormal="100" workbookViewId="0">
      <pane xSplit="4" ySplit="11" topLeftCell="E12" activePane="bottomRight" state="frozen"/>
      <selection activeCell="H38" sqref="H38"/>
      <selection pane="topRight" activeCell="H38" sqref="H38"/>
      <selection pane="bottomLeft" activeCell="H38" sqref="H38"/>
      <selection pane="bottomRight" activeCell="H38" sqref="H38"/>
    </sheetView>
  </sheetViews>
  <sheetFormatPr defaultColWidth="8.7265625" defaultRowHeight="14" x14ac:dyDescent="0.3"/>
  <cols>
    <col min="1" max="1" width="4.1796875" style="2" customWidth="1"/>
    <col min="2" max="2" width="12.81640625" style="2" customWidth="1"/>
    <col min="3" max="3" width="15.54296875" style="2" customWidth="1"/>
    <col min="4" max="4" width="16.26953125" style="2" bestFit="1" customWidth="1"/>
    <col min="5" max="5" width="9" style="2" customWidth="1"/>
    <col min="6" max="6" width="11.54296875" style="2" customWidth="1"/>
    <col min="7" max="7" width="1.54296875" style="2" customWidth="1"/>
    <col min="8" max="8" width="13.453125" style="2" bestFit="1" customWidth="1"/>
    <col min="9" max="9" width="1.54296875" style="2" customWidth="1"/>
    <col min="10" max="10" width="13.453125" style="2" bestFit="1" customWidth="1"/>
    <col min="11" max="11" width="12.36328125" style="2" bestFit="1" customWidth="1"/>
    <col min="12" max="12" width="10.7265625" style="2" bestFit="1" customWidth="1"/>
    <col min="13" max="13" width="1.54296875" style="2" customWidth="1"/>
    <col min="14" max="14" width="13.453125" style="2" bestFit="1" customWidth="1"/>
    <col min="15" max="15" width="11.26953125" style="2" bestFit="1" customWidth="1"/>
    <col min="16" max="16" width="10.7265625" style="2" bestFit="1" customWidth="1"/>
    <col min="17" max="17" width="1.54296875" style="2" customWidth="1"/>
    <col min="18" max="18" width="13.453125" style="2" bestFit="1" customWidth="1"/>
    <col min="19" max="19" width="10.6328125" style="2" bestFit="1" customWidth="1"/>
    <col min="20" max="20" width="10.7265625" style="2" bestFit="1" customWidth="1"/>
    <col min="21" max="21" width="1.6328125" style="2" customWidth="1"/>
    <col min="22" max="22" width="12.36328125" style="2" bestFit="1" customWidth="1"/>
    <col min="23" max="23" width="10.7265625" style="2" bestFit="1" customWidth="1"/>
    <col min="24" max="16384" width="8.7265625" style="2"/>
  </cols>
  <sheetData>
    <row r="1" spans="1:25" x14ac:dyDescent="0.3">
      <c r="A1" s="1">
        <v>1</v>
      </c>
    </row>
    <row r="2" spans="1:25" x14ac:dyDescent="0.3">
      <c r="A2" s="1">
        <f>A1+1</f>
        <v>2</v>
      </c>
    </row>
    <row r="3" spans="1:25" x14ac:dyDescent="0.3">
      <c r="A3" s="1">
        <f t="shared" ref="A3:A66" si="0">A2+1</f>
        <v>3</v>
      </c>
    </row>
    <row r="4" spans="1:25" x14ac:dyDescent="0.3">
      <c r="A4" s="1">
        <f t="shared" si="0"/>
        <v>4</v>
      </c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25" x14ac:dyDescent="0.3">
      <c r="A5" s="1">
        <f t="shared" si="0"/>
        <v>5</v>
      </c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3">
      <c r="A6" s="1">
        <f t="shared" si="0"/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25" x14ac:dyDescent="0.3">
      <c r="A7" s="1">
        <f t="shared" si="0"/>
        <v>7</v>
      </c>
    </row>
    <row r="8" spans="1:25" x14ac:dyDescent="0.3">
      <c r="A8" s="1">
        <f t="shared" si="0"/>
        <v>8</v>
      </c>
      <c r="H8" s="4">
        <v>2024</v>
      </c>
      <c r="J8" s="5">
        <v>2025</v>
      </c>
      <c r="K8" s="5"/>
      <c r="L8" s="5"/>
      <c r="N8" s="5">
        <v>2026</v>
      </c>
      <c r="O8" s="5"/>
      <c r="P8" s="5"/>
      <c r="R8" s="5">
        <v>2027</v>
      </c>
      <c r="S8" s="5"/>
      <c r="T8" s="5"/>
      <c r="U8" s="5"/>
      <c r="V8" s="5"/>
      <c r="W8" s="5"/>
    </row>
    <row r="9" spans="1:25" x14ac:dyDescent="0.3">
      <c r="A9" s="1">
        <f t="shared" si="0"/>
        <v>9</v>
      </c>
    </row>
    <row r="10" spans="1:25" x14ac:dyDescent="0.3">
      <c r="A10" s="1">
        <f t="shared" si="0"/>
        <v>10</v>
      </c>
      <c r="E10" s="6" t="s">
        <v>2</v>
      </c>
      <c r="F10" s="6"/>
      <c r="G10" s="7"/>
      <c r="H10" s="1"/>
      <c r="K10" s="5" t="s">
        <v>3</v>
      </c>
      <c r="L10" s="5"/>
      <c r="O10" s="5" t="s">
        <v>4</v>
      </c>
      <c r="P10" s="5"/>
      <c r="S10" s="5" t="s">
        <v>5</v>
      </c>
      <c r="T10" s="5"/>
      <c r="V10" s="5" t="s">
        <v>6</v>
      </c>
      <c r="W10" s="5"/>
    </row>
    <row r="11" spans="1:25" x14ac:dyDescent="0.3">
      <c r="A11" s="1">
        <f t="shared" si="0"/>
        <v>11</v>
      </c>
      <c r="B11" s="8" t="s">
        <v>7</v>
      </c>
      <c r="C11" s="8" t="s">
        <v>8</v>
      </c>
      <c r="D11" s="9" t="s">
        <v>9</v>
      </c>
      <c r="E11" s="10" t="s">
        <v>10</v>
      </c>
      <c r="F11" s="11" t="s">
        <v>11</v>
      </c>
      <c r="H11" s="12" t="s">
        <v>12</v>
      </c>
      <c r="I11" s="12"/>
      <c r="J11" s="12" t="str">
        <f>+H11</f>
        <v>Total Bill</v>
      </c>
      <c r="K11" s="12" t="s">
        <v>13</v>
      </c>
      <c r="L11" s="12" t="s">
        <v>14</v>
      </c>
      <c r="M11" s="12"/>
      <c r="N11" s="12" t="str">
        <f>+J11</f>
        <v>Total Bill</v>
      </c>
      <c r="O11" s="12" t="s">
        <v>13</v>
      </c>
      <c r="P11" s="12" t="s">
        <v>14</v>
      </c>
      <c r="Q11" s="12"/>
      <c r="R11" s="12" t="str">
        <f>+N11</f>
        <v>Total Bill</v>
      </c>
      <c r="S11" s="12" t="s">
        <v>13</v>
      </c>
      <c r="T11" s="12" t="s">
        <v>14</v>
      </c>
      <c r="V11" s="12" t="s">
        <v>13</v>
      </c>
      <c r="W11" s="12" t="s">
        <v>14</v>
      </c>
    </row>
    <row r="12" spans="1:25" x14ac:dyDescent="0.3">
      <c r="A12" s="1">
        <f t="shared" si="0"/>
        <v>12</v>
      </c>
      <c r="B12" s="13" t="s">
        <v>15</v>
      </c>
      <c r="C12" s="13" t="s">
        <v>15</v>
      </c>
      <c r="D12" s="2" t="s">
        <v>16</v>
      </c>
      <c r="F12" s="14">
        <f>'EMA R1'!C25</f>
        <v>530</v>
      </c>
      <c r="H12" s="15">
        <f>'EMA R1'!$F$25</f>
        <v>186.67000000000002</v>
      </c>
      <c r="I12" s="15"/>
      <c r="J12" s="16">
        <f>+'EMA R1'!J25</f>
        <v>191.21</v>
      </c>
      <c r="K12" s="17">
        <f>+J12-H12</f>
        <v>4.539999999999992</v>
      </c>
      <c r="L12" s="18">
        <f>+K12/H12</f>
        <v>2.4320994267959455E-2</v>
      </c>
      <c r="M12" s="19"/>
      <c r="N12" s="16">
        <f>+'EMA R1'!Q25</f>
        <v>192.44</v>
      </c>
      <c r="O12" s="17">
        <f>+N12-J12</f>
        <v>1.2299999999999898</v>
      </c>
      <c r="P12" s="18">
        <f>+O12/J12</f>
        <v>6.4327179540818458E-3</v>
      </c>
      <c r="Q12" s="19"/>
      <c r="R12" s="16">
        <f>+'EMA R1'!X25</f>
        <v>194.81</v>
      </c>
      <c r="S12" s="17">
        <f>+R12-N12</f>
        <v>2.3700000000000045</v>
      </c>
      <c r="T12" s="18">
        <f>+S12/N12</f>
        <v>1.2315526917480796E-2</v>
      </c>
      <c r="V12" s="17">
        <f>+R12-H12</f>
        <v>8.1399999999999864</v>
      </c>
      <c r="W12" s="20">
        <f>+V12/H12</f>
        <v>4.3606364172068278E-2</v>
      </c>
      <c r="Y12" s="17"/>
    </row>
    <row r="13" spans="1:25" x14ac:dyDescent="0.3">
      <c r="A13" s="1">
        <f t="shared" si="0"/>
        <v>13</v>
      </c>
      <c r="B13" s="13" t="s">
        <v>17</v>
      </c>
      <c r="C13" s="13" t="s">
        <v>17</v>
      </c>
      <c r="D13" s="2" t="s">
        <v>16</v>
      </c>
      <c r="F13" s="14">
        <f>'WMA R1'!C25</f>
        <v>545</v>
      </c>
      <c r="H13" s="15">
        <f>'WMA R1'!$F$25</f>
        <v>182.14</v>
      </c>
      <c r="I13" s="15"/>
      <c r="J13" s="16">
        <f>+'WMA R1'!J25</f>
        <v>186.81</v>
      </c>
      <c r="K13" s="17">
        <f t="shared" ref="K13:K76" si="1">+J13-H13</f>
        <v>4.6700000000000159</v>
      </c>
      <c r="L13" s="18">
        <f t="shared" ref="L13:L76" si="2">+K13/H13</f>
        <v>2.5639617876358933E-2</v>
      </c>
      <c r="M13" s="19"/>
      <c r="N13" s="16">
        <f>+'WMA R1'!Q25</f>
        <v>188.07</v>
      </c>
      <c r="O13" s="17">
        <f>+N13-J13</f>
        <v>1.2599999999999909</v>
      </c>
      <c r="P13" s="18">
        <f>+O13/J13</f>
        <v>6.7448209410630637E-3</v>
      </c>
      <c r="Q13" s="19"/>
      <c r="R13" s="16">
        <f>+'WMA R1'!X25</f>
        <v>190.51</v>
      </c>
      <c r="S13" s="17">
        <f t="shared" ref="S13:S76" si="3">+R13-N13</f>
        <v>2.4399999999999977</v>
      </c>
      <c r="T13" s="18">
        <f t="shared" ref="T13:T76" si="4">+S13/N13</f>
        <v>1.297389269952676E-2</v>
      </c>
      <c r="V13" s="17">
        <f t="shared" ref="V13:V76" si="5">+R13-H13</f>
        <v>8.3700000000000045</v>
      </c>
      <c r="W13" s="20">
        <f t="shared" ref="W13:W76" si="6">+V13/H13</f>
        <v>4.5953662018227766E-2</v>
      </c>
      <c r="Y13" s="17"/>
    </row>
    <row r="14" spans="1:25" x14ac:dyDescent="0.3">
      <c r="A14" s="1">
        <f t="shared" si="0"/>
        <v>14</v>
      </c>
      <c r="F14" s="14"/>
      <c r="H14" s="15"/>
      <c r="I14" s="15"/>
      <c r="J14" s="16"/>
      <c r="K14" s="17"/>
      <c r="L14" s="18"/>
      <c r="M14" s="19"/>
      <c r="N14" s="16"/>
      <c r="O14" s="17"/>
      <c r="P14" s="18"/>
      <c r="Q14" s="19"/>
      <c r="R14" s="16"/>
      <c r="S14" s="17"/>
      <c r="T14" s="18"/>
      <c r="V14" s="17"/>
      <c r="W14" s="20"/>
      <c r="Y14" s="17"/>
    </row>
    <row r="15" spans="1:25" x14ac:dyDescent="0.3">
      <c r="A15" s="1">
        <f t="shared" si="0"/>
        <v>15</v>
      </c>
      <c r="B15" s="13" t="s">
        <v>15</v>
      </c>
      <c r="C15" s="13" t="s">
        <v>15</v>
      </c>
      <c r="D15" s="2" t="s">
        <v>18</v>
      </c>
      <c r="F15" s="14">
        <f>'EMA R2'!C25</f>
        <v>475</v>
      </c>
      <c r="H15" s="15">
        <f>'EMA R2'!$F$25</f>
        <v>97.63</v>
      </c>
      <c r="I15" s="15"/>
      <c r="J15" s="16">
        <f>'EMA R2'!J25</f>
        <v>99.990000000000009</v>
      </c>
      <c r="K15" s="17">
        <f t="shared" si="1"/>
        <v>2.3600000000000136</v>
      </c>
      <c r="L15" s="18">
        <f t="shared" si="2"/>
        <v>2.4172897674895152E-2</v>
      </c>
      <c r="M15" s="19"/>
      <c r="N15" s="16">
        <f>'EMA R2'!Q25</f>
        <v>100.63</v>
      </c>
      <c r="O15" s="17">
        <f t="shared" ref="O15:O77" si="7">+N15-J15</f>
        <v>0.63999999999998636</v>
      </c>
      <c r="P15" s="18">
        <f t="shared" ref="P15:P77" si="8">+O15/J15</f>
        <v>6.4006400640062638E-3</v>
      </c>
      <c r="Q15" s="19"/>
      <c r="R15" s="16">
        <f>'EMA R2'!X25</f>
        <v>101.86</v>
      </c>
      <c r="S15" s="17">
        <f t="shared" si="3"/>
        <v>1.230000000000004</v>
      </c>
      <c r="T15" s="18">
        <f t="shared" si="4"/>
        <v>1.2222995130676777E-2</v>
      </c>
      <c r="V15" s="17">
        <f t="shared" si="5"/>
        <v>4.230000000000004</v>
      </c>
      <c r="W15" s="20">
        <f t="shared" si="6"/>
        <v>4.3326846256273727E-2</v>
      </c>
      <c r="Y15" s="17"/>
    </row>
    <row r="16" spans="1:25" x14ac:dyDescent="0.3">
      <c r="A16" s="1">
        <f t="shared" si="0"/>
        <v>16</v>
      </c>
      <c r="B16" s="13" t="s">
        <v>17</v>
      </c>
      <c r="C16" s="13" t="s">
        <v>17</v>
      </c>
      <c r="D16" s="2" t="s">
        <v>18</v>
      </c>
      <c r="F16" s="14">
        <f>'WMA R2'!C25</f>
        <v>585</v>
      </c>
      <c r="H16" s="15">
        <f>'WMA R2'!$F$25</f>
        <v>112.97</v>
      </c>
      <c r="I16" s="15"/>
      <c r="J16" s="16">
        <f>'WMA R2'!J25</f>
        <v>115.88</v>
      </c>
      <c r="K16" s="17">
        <f t="shared" si="1"/>
        <v>2.9099999999999966</v>
      </c>
      <c r="L16" s="18">
        <f t="shared" si="2"/>
        <v>2.5759051075506741E-2</v>
      </c>
      <c r="M16" s="19"/>
      <c r="N16" s="16">
        <f>'WMA R2'!Q25</f>
        <v>116.66</v>
      </c>
      <c r="O16" s="17">
        <f t="shared" si="7"/>
        <v>0.78000000000000114</v>
      </c>
      <c r="P16" s="18">
        <f t="shared" si="8"/>
        <v>6.7311011391094338E-3</v>
      </c>
      <c r="Q16" s="19"/>
      <c r="R16" s="16">
        <f>'WMA R2'!X25</f>
        <v>118.17999999999999</v>
      </c>
      <c r="S16" s="17">
        <f t="shared" si="3"/>
        <v>1.519999999999996</v>
      </c>
      <c r="T16" s="18">
        <f t="shared" si="4"/>
        <v>1.3029315960912018E-2</v>
      </c>
      <c r="V16" s="17">
        <f t="shared" si="5"/>
        <v>5.2099999999999937</v>
      </c>
      <c r="W16" s="20">
        <f t="shared" si="6"/>
        <v>4.611843852350176E-2</v>
      </c>
      <c r="Y16" s="17"/>
    </row>
    <row r="17" spans="1:25" x14ac:dyDescent="0.3">
      <c r="A17" s="1">
        <f t="shared" si="0"/>
        <v>17</v>
      </c>
      <c r="B17" s="13"/>
      <c r="C17" s="13"/>
      <c r="F17" s="14"/>
      <c r="H17" s="15"/>
      <c r="I17" s="15"/>
      <c r="J17" s="16"/>
      <c r="K17" s="17"/>
      <c r="L17" s="18"/>
      <c r="M17" s="19"/>
      <c r="N17" s="16"/>
      <c r="O17" s="17"/>
      <c r="P17" s="18"/>
      <c r="Q17" s="19"/>
      <c r="R17" s="16"/>
      <c r="S17" s="17"/>
      <c r="T17" s="18"/>
      <c r="V17" s="17"/>
      <c r="W17" s="20"/>
      <c r="Y17" s="17"/>
    </row>
    <row r="18" spans="1:25" x14ac:dyDescent="0.3">
      <c r="A18" s="1">
        <f t="shared" si="0"/>
        <v>18</v>
      </c>
      <c r="B18" s="13" t="s">
        <v>15</v>
      </c>
      <c r="C18" s="13" t="s">
        <v>15</v>
      </c>
      <c r="D18" s="2" t="s">
        <v>19</v>
      </c>
      <c r="F18" s="14">
        <f>'EMA R3'!C25</f>
        <v>745</v>
      </c>
      <c r="H18" s="15">
        <f>'EMA R3'!$F$25</f>
        <v>253.76999999999998</v>
      </c>
      <c r="I18" s="15"/>
      <c r="J18" s="16">
        <f>'EMA R3'!J25</f>
        <v>260.14999999999998</v>
      </c>
      <c r="K18" s="17">
        <f t="shared" si="1"/>
        <v>6.3799999999999955</v>
      </c>
      <c r="L18" s="18">
        <f t="shared" si="2"/>
        <v>2.5140875596012122E-2</v>
      </c>
      <c r="M18" s="19"/>
      <c r="N18" s="16">
        <f>'EMA R3'!Q25</f>
        <v>261.88</v>
      </c>
      <c r="O18" s="17">
        <f t="shared" si="7"/>
        <v>1.7300000000000182</v>
      </c>
      <c r="P18" s="18">
        <f t="shared" si="8"/>
        <v>6.6500096098405471E-3</v>
      </c>
      <c r="Q18" s="19"/>
      <c r="R18" s="16">
        <f>'EMA R3'!X25</f>
        <v>265.21000000000004</v>
      </c>
      <c r="S18" s="17">
        <f t="shared" si="3"/>
        <v>3.3300000000000409</v>
      </c>
      <c r="T18" s="18">
        <f t="shared" si="4"/>
        <v>1.2715747670689021E-2</v>
      </c>
      <c r="V18" s="17">
        <f t="shared" si="5"/>
        <v>11.440000000000055</v>
      </c>
      <c r="W18" s="20">
        <f t="shared" si="6"/>
        <v>4.5080190723884049E-2</v>
      </c>
      <c r="Y18" s="17"/>
    </row>
    <row r="19" spans="1:25" x14ac:dyDescent="0.3">
      <c r="A19" s="1">
        <f t="shared" si="0"/>
        <v>19</v>
      </c>
      <c r="B19" s="13" t="s">
        <v>17</v>
      </c>
      <c r="C19" s="13" t="s">
        <v>17</v>
      </c>
      <c r="D19" s="2" t="s">
        <v>19</v>
      </c>
      <c r="F19" s="14">
        <f>'WMA R3'!C25</f>
        <v>805</v>
      </c>
      <c r="H19" s="15">
        <f>'WMA R3'!$F$25</f>
        <v>259.33</v>
      </c>
      <c r="I19" s="15"/>
      <c r="J19" s="16">
        <f>'WMA R3'!J25</f>
        <v>266.23</v>
      </c>
      <c r="K19" s="17">
        <f t="shared" si="1"/>
        <v>6.9000000000000341</v>
      </c>
      <c r="L19" s="18">
        <f t="shared" si="2"/>
        <v>2.6607025797246886E-2</v>
      </c>
      <c r="M19" s="19"/>
      <c r="N19" s="16">
        <f>'WMA R3'!Q25</f>
        <v>268.08999999999997</v>
      </c>
      <c r="O19" s="17">
        <f t="shared" si="7"/>
        <v>1.8599999999999568</v>
      </c>
      <c r="P19" s="18">
        <f t="shared" si="8"/>
        <v>6.9864402959845121E-3</v>
      </c>
      <c r="Q19" s="19"/>
      <c r="R19" s="16">
        <f>'WMA R3'!X25</f>
        <v>271.69</v>
      </c>
      <c r="S19" s="17">
        <f t="shared" si="3"/>
        <v>3.6000000000000227</v>
      </c>
      <c r="T19" s="18">
        <f t="shared" si="4"/>
        <v>1.3428326308329378E-2</v>
      </c>
      <c r="V19" s="17">
        <f t="shared" si="5"/>
        <v>12.360000000000014</v>
      </c>
      <c r="W19" s="20">
        <f t="shared" si="6"/>
        <v>4.7661280993329017E-2</v>
      </c>
      <c r="Y19" s="17"/>
    </row>
    <row r="20" spans="1:25" x14ac:dyDescent="0.3">
      <c r="A20" s="1">
        <f t="shared" si="0"/>
        <v>20</v>
      </c>
      <c r="B20" s="13"/>
      <c r="C20" s="13"/>
      <c r="F20" s="14"/>
      <c r="H20" s="15"/>
      <c r="I20" s="15"/>
      <c r="J20" s="16"/>
      <c r="K20" s="17"/>
      <c r="L20" s="18"/>
      <c r="M20" s="19"/>
      <c r="N20" s="16"/>
      <c r="O20" s="17"/>
      <c r="P20" s="18"/>
      <c r="Q20" s="19"/>
      <c r="R20" s="16"/>
      <c r="S20" s="17"/>
      <c r="T20" s="18"/>
      <c r="V20" s="17"/>
      <c r="W20" s="20"/>
      <c r="Y20" s="17"/>
    </row>
    <row r="21" spans="1:25" x14ac:dyDescent="0.3">
      <c r="A21" s="1">
        <f t="shared" si="0"/>
        <v>21</v>
      </c>
      <c r="B21" s="13" t="s">
        <v>15</v>
      </c>
      <c r="C21" s="13" t="s">
        <v>15</v>
      </c>
      <c r="D21" s="2" t="s">
        <v>20</v>
      </c>
      <c r="F21" s="14">
        <f>'EMA R4'!C25</f>
        <v>830</v>
      </c>
      <c r="H21" s="15">
        <f>'EMA R4'!$F$25</f>
        <v>163.32</v>
      </c>
      <c r="I21" s="15"/>
      <c r="J21" s="16">
        <f>'EMA R4'!J25</f>
        <v>167.45</v>
      </c>
      <c r="K21" s="17">
        <f t="shared" si="1"/>
        <v>4.1299999999999955</v>
      </c>
      <c r="L21" s="18">
        <f t="shared" si="2"/>
        <v>2.5287778594170925E-2</v>
      </c>
      <c r="M21" s="19"/>
      <c r="N21" s="16">
        <f>'EMA R4'!Q25</f>
        <v>168.56</v>
      </c>
      <c r="O21" s="17">
        <f t="shared" si="7"/>
        <v>1.1100000000000136</v>
      </c>
      <c r="P21" s="18">
        <f t="shared" si="8"/>
        <v>6.6288444311735665E-3</v>
      </c>
      <c r="Q21" s="19"/>
      <c r="R21" s="16">
        <f>'EMA R4'!X25</f>
        <v>170.72000000000003</v>
      </c>
      <c r="S21" s="17">
        <f t="shared" si="3"/>
        <v>2.160000000000025</v>
      </c>
      <c r="T21" s="18">
        <f t="shared" si="4"/>
        <v>1.2814428096820272E-2</v>
      </c>
      <c r="V21" s="17">
        <f t="shared" si="5"/>
        <v>7.4000000000000341</v>
      </c>
      <c r="W21" s="20">
        <f t="shared" si="6"/>
        <v>4.5309821209894893E-2</v>
      </c>
      <c r="Y21" s="17"/>
    </row>
    <row r="22" spans="1:25" x14ac:dyDescent="0.3">
      <c r="A22" s="1">
        <f t="shared" si="0"/>
        <v>22</v>
      </c>
      <c r="B22" s="13" t="s">
        <v>17</v>
      </c>
      <c r="C22" s="13" t="s">
        <v>17</v>
      </c>
      <c r="D22" s="2" t="s">
        <v>20</v>
      </c>
      <c r="F22" s="14">
        <f>'WMA R4'!C25</f>
        <v>990</v>
      </c>
      <c r="H22" s="15">
        <f>'WMA R4'!$F$25</f>
        <v>183.64</v>
      </c>
      <c r="I22" s="15"/>
      <c r="J22" s="16">
        <f>'WMA R4'!J25</f>
        <v>188.56</v>
      </c>
      <c r="K22" s="17">
        <f t="shared" si="1"/>
        <v>4.9200000000000159</v>
      </c>
      <c r="L22" s="18">
        <f t="shared" si="2"/>
        <v>2.6791548682204402E-2</v>
      </c>
      <c r="M22" s="19"/>
      <c r="N22" s="16">
        <f>'WMA R4'!Q25</f>
        <v>189.89</v>
      </c>
      <c r="O22" s="17">
        <f t="shared" si="7"/>
        <v>1.3299999999999841</v>
      </c>
      <c r="P22" s="18">
        <f t="shared" si="8"/>
        <v>7.0534577853202376E-3</v>
      </c>
      <c r="Q22" s="19"/>
      <c r="R22" s="16">
        <f>'WMA R4'!X25</f>
        <v>192.45999999999998</v>
      </c>
      <c r="S22" s="17">
        <f t="shared" si="3"/>
        <v>2.5699999999999932</v>
      </c>
      <c r="T22" s="18">
        <f t="shared" si="4"/>
        <v>1.3534151350781997E-2</v>
      </c>
      <c r="V22" s="17">
        <f t="shared" si="5"/>
        <v>8.8199999999999932</v>
      </c>
      <c r="W22" s="20">
        <f t="shared" si="6"/>
        <v>4.802875190590282E-2</v>
      </c>
      <c r="Y22" s="17"/>
    </row>
    <row r="23" spans="1:25" x14ac:dyDescent="0.3">
      <c r="A23" s="1">
        <f t="shared" si="0"/>
        <v>23</v>
      </c>
      <c r="H23" s="15"/>
      <c r="I23" s="15"/>
      <c r="J23" s="16"/>
      <c r="K23" s="17"/>
      <c r="L23" s="18"/>
      <c r="M23" s="16"/>
      <c r="N23" s="16"/>
      <c r="O23" s="17"/>
      <c r="P23" s="18"/>
      <c r="Q23" s="16"/>
      <c r="R23" s="16"/>
      <c r="S23" s="17"/>
      <c r="T23" s="18"/>
      <c r="V23" s="17"/>
      <c r="W23" s="20"/>
      <c r="Y23" s="17"/>
    </row>
    <row r="24" spans="1:25" x14ac:dyDescent="0.3">
      <c r="A24" s="1">
        <f t="shared" si="0"/>
        <v>24</v>
      </c>
      <c r="B24" s="13" t="s">
        <v>17</v>
      </c>
      <c r="C24" s="13" t="s">
        <v>17</v>
      </c>
      <c r="D24" s="13">
        <v>23</v>
      </c>
      <c r="F24" s="14">
        <f>+'WMA 23'!C20</f>
        <v>285</v>
      </c>
      <c r="H24" s="15">
        <f>'WMA 23'!$F$20</f>
        <v>88.800000000000011</v>
      </c>
      <c r="I24" s="15"/>
      <c r="J24" s="16">
        <f>'WMA 23'!J20</f>
        <v>94.08</v>
      </c>
      <c r="K24" s="17">
        <f t="shared" si="1"/>
        <v>5.2799999999999869</v>
      </c>
      <c r="L24" s="18">
        <f t="shared" si="2"/>
        <v>5.9459459459459303E-2</v>
      </c>
      <c r="M24" s="19"/>
      <c r="N24" s="16">
        <f>'WMA 23'!Q20</f>
        <v>94.92</v>
      </c>
      <c r="O24" s="17">
        <f t="shared" si="7"/>
        <v>0.84000000000000341</v>
      </c>
      <c r="P24" s="18">
        <f t="shared" si="8"/>
        <v>8.9285714285714645E-3</v>
      </c>
      <c r="Q24" s="19"/>
      <c r="R24" s="16">
        <f>'WMA 23'!X20</f>
        <v>94.86</v>
      </c>
      <c r="S24" s="17">
        <f t="shared" si="3"/>
        <v>-6.0000000000002274E-2</v>
      </c>
      <c r="T24" s="18">
        <f t="shared" si="4"/>
        <v>-6.3211125158030203E-4</v>
      </c>
      <c r="V24" s="17">
        <f t="shared" si="5"/>
        <v>6.0599999999999881</v>
      </c>
      <c r="W24" s="20">
        <f t="shared" si="6"/>
        <v>6.8243243243243101E-2</v>
      </c>
      <c r="Y24" s="17"/>
    </row>
    <row r="25" spans="1:25" x14ac:dyDescent="0.3">
      <c r="A25" s="1">
        <f t="shared" si="0"/>
        <v>25</v>
      </c>
      <c r="D25" s="13"/>
      <c r="H25" s="15"/>
      <c r="I25" s="15"/>
      <c r="J25" s="16"/>
      <c r="K25" s="17"/>
      <c r="L25" s="18"/>
      <c r="M25" s="16"/>
      <c r="N25" s="16"/>
      <c r="O25" s="17"/>
      <c r="P25" s="18"/>
      <c r="Q25" s="16"/>
      <c r="R25" s="16"/>
      <c r="S25" s="17"/>
      <c r="T25" s="18"/>
      <c r="V25" s="17"/>
      <c r="W25" s="20"/>
      <c r="Y25" s="17"/>
    </row>
    <row r="26" spans="1:25" x14ac:dyDescent="0.3">
      <c r="A26" s="1">
        <f t="shared" si="0"/>
        <v>26</v>
      </c>
      <c r="B26" s="13" t="s">
        <v>17</v>
      </c>
      <c r="C26" s="13" t="s">
        <v>17</v>
      </c>
      <c r="D26" s="13">
        <v>24</v>
      </c>
      <c r="E26" s="14">
        <f>+'WMA 24'!C20</f>
        <v>12</v>
      </c>
      <c r="F26" s="14">
        <f>+'WMA 24'!D20</f>
        <v>840</v>
      </c>
      <c r="H26" s="15">
        <f>'WMA 24'!$G$20</f>
        <v>338.65880000000004</v>
      </c>
      <c r="I26" s="15"/>
      <c r="J26" s="16">
        <f>'WMA 24'!K20</f>
        <v>354.2088</v>
      </c>
      <c r="K26" s="17">
        <f t="shared" si="1"/>
        <v>15.549999999999955</v>
      </c>
      <c r="L26" s="18">
        <f t="shared" si="2"/>
        <v>4.5916420893241078E-2</v>
      </c>
      <c r="M26" s="19"/>
      <c r="N26" s="16">
        <f>'WMA 24'!R20</f>
        <v>356.68880000000001</v>
      </c>
      <c r="O26" s="17">
        <f t="shared" si="7"/>
        <v>2.4800000000000182</v>
      </c>
      <c r="P26" s="18">
        <f t="shared" si="8"/>
        <v>7.0015200074081112E-3</v>
      </c>
      <c r="Q26" s="19"/>
      <c r="R26" s="16">
        <f>'WMA 24'!Y20</f>
        <v>356.5188</v>
      </c>
      <c r="S26" s="17">
        <f t="shared" si="3"/>
        <v>-0.17000000000001592</v>
      </c>
      <c r="T26" s="18">
        <f t="shared" si="4"/>
        <v>-4.7660593772503066E-4</v>
      </c>
      <c r="V26" s="17">
        <f t="shared" si="5"/>
        <v>17.859999999999957</v>
      </c>
      <c r="W26" s="20">
        <f t="shared" si="6"/>
        <v>5.2737445476095574E-2</v>
      </c>
      <c r="Y26" s="17"/>
    </row>
    <row r="27" spans="1:25" x14ac:dyDescent="0.3">
      <c r="A27" s="1">
        <f t="shared" si="0"/>
        <v>27</v>
      </c>
      <c r="B27" s="13" t="s">
        <v>17</v>
      </c>
      <c r="C27" s="13" t="s">
        <v>17</v>
      </c>
      <c r="D27" s="13">
        <v>24</v>
      </c>
      <c r="E27" s="14">
        <f>+'WMA 24'!C29</f>
        <v>15</v>
      </c>
      <c r="F27" s="14">
        <f>+'WMA 24'!D29</f>
        <v>2100</v>
      </c>
      <c r="H27" s="15">
        <f>'WMA 24'!$G$29</f>
        <v>597.71199999999999</v>
      </c>
      <c r="I27" s="15"/>
      <c r="J27" s="16">
        <f>'WMA 24'!K29</f>
        <v>636.58199999999999</v>
      </c>
      <c r="K27" s="17">
        <f t="shared" si="1"/>
        <v>38.870000000000005</v>
      </c>
      <c r="L27" s="18">
        <f t="shared" si="2"/>
        <v>6.5031319431431867E-2</v>
      </c>
      <c r="M27" s="19"/>
      <c r="N27" s="16">
        <f>'WMA 24'!R29</f>
        <v>642.78200000000004</v>
      </c>
      <c r="O27" s="17">
        <f t="shared" si="7"/>
        <v>6.2000000000000455</v>
      </c>
      <c r="P27" s="18">
        <f t="shared" si="8"/>
        <v>9.7395150978193627E-3</v>
      </c>
      <c r="Q27" s="19"/>
      <c r="R27" s="16">
        <f>'WMA 24'!Y29</f>
        <v>642.36200000000008</v>
      </c>
      <c r="S27" s="17">
        <f t="shared" si="3"/>
        <v>-0.41999999999995907</v>
      </c>
      <c r="T27" s="18">
        <f t="shared" si="4"/>
        <v>-6.5340970966822195E-4</v>
      </c>
      <c r="V27" s="17">
        <f t="shared" si="5"/>
        <v>44.650000000000091</v>
      </c>
      <c r="W27" s="20">
        <f t="shared" si="6"/>
        <v>7.4701528495329003E-2</v>
      </c>
      <c r="Y27" s="17"/>
    </row>
    <row r="28" spans="1:25" x14ac:dyDescent="0.3">
      <c r="A28" s="1">
        <f t="shared" si="0"/>
        <v>28</v>
      </c>
      <c r="B28" s="13" t="s">
        <v>17</v>
      </c>
      <c r="C28" s="13" t="s">
        <v>17</v>
      </c>
      <c r="D28" s="13">
        <v>24</v>
      </c>
      <c r="E28" s="14">
        <f>+'WMA 24'!C38</f>
        <v>12</v>
      </c>
      <c r="F28" s="14">
        <f>+'WMA 24'!D38</f>
        <v>3180</v>
      </c>
      <c r="H28" s="15">
        <f>'WMA 24'!$G$38</f>
        <v>749.44759999999997</v>
      </c>
      <c r="I28" s="15"/>
      <c r="J28" s="16">
        <f>'WMA 24'!K38</f>
        <v>808.30759999999998</v>
      </c>
      <c r="K28" s="17">
        <f t="shared" si="1"/>
        <v>58.860000000000014</v>
      </c>
      <c r="L28" s="18">
        <f t="shared" si="2"/>
        <v>7.8537845741316697E-2</v>
      </c>
      <c r="M28" s="19"/>
      <c r="N28" s="16">
        <f>'WMA 24'!R38</f>
        <v>817.68759999999997</v>
      </c>
      <c r="O28" s="17">
        <f t="shared" si="7"/>
        <v>9.3799999999999955</v>
      </c>
      <c r="P28" s="18">
        <f t="shared" si="8"/>
        <v>1.1604493140977513E-2</v>
      </c>
      <c r="Q28" s="19"/>
      <c r="R28" s="16">
        <f>'WMA 24'!Y38</f>
        <v>817.05759999999998</v>
      </c>
      <c r="S28" s="17">
        <f t="shared" si="3"/>
        <v>-0.62999999999999545</v>
      </c>
      <c r="T28" s="18">
        <f t="shared" si="4"/>
        <v>-7.7046539534168736E-4</v>
      </c>
      <c r="V28" s="17">
        <f t="shared" si="5"/>
        <v>67.610000000000014</v>
      </c>
      <c r="W28" s="20">
        <f t="shared" si="6"/>
        <v>9.0213111630486259E-2</v>
      </c>
      <c r="Y28" s="17"/>
    </row>
    <row r="29" spans="1:25" x14ac:dyDescent="0.3">
      <c r="A29" s="1">
        <f t="shared" si="0"/>
        <v>29</v>
      </c>
      <c r="H29" s="15"/>
      <c r="I29" s="15"/>
      <c r="J29" s="16"/>
      <c r="K29" s="17"/>
      <c r="L29" s="18"/>
      <c r="M29" s="19"/>
      <c r="N29" s="16"/>
      <c r="O29" s="17"/>
      <c r="P29" s="18"/>
      <c r="Q29" s="19"/>
      <c r="R29" s="16"/>
      <c r="S29" s="17"/>
      <c r="T29" s="18"/>
      <c r="V29" s="17"/>
      <c r="W29" s="20"/>
      <c r="Y29" s="17"/>
    </row>
    <row r="30" spans="1:25" x14ac:dyDescent="0.3">
      <c r="A30" s="1">
        <f t="shared" si="0"/>
        <v>30</v>
      </c>
      <c r="B30" s="2" t="s">
        <v>15</v>
      </c>
      <c r="C30" s="2" t="s">
        <v>21</v>
      </c>
      <c r="D30" s="2" t="s">
        <v>22</v>
      </c>
      <c r="F30" s="14">
        <f>+'BOS G1ND'!C23</f>
        <v>2250</v>
      </c>
      <c r="H30" s="15">
        <f>'BOS G1ND'!$F$23</f>
        <v>622.36</v>
      </c>
      <c r="I30" s="15"/>
      <c r="J30" s="16">
        <f>'BOS G1ND'!J23</f>
        <v>664.01</v>
      </c>
      <c r="K30" s="17">
        <f t="shared" si="1"/>
        <v>41.649999999999977</v>
      </c>
      <c r="L30" s="18">
        <f t="shared" si="2"/>
        <v>6.6922681406260009E-2</v>
      </c>
      <c r="M30" s="16"/>
      <c r="N30" s="16">
        <f>'BOS G1ND'!Q23</f>
        <v>670.65000000000009</v>
      </c>
      <c r="O30" s="17">
        <f t="shared" si="7"/>
        <v>6.6400000000001</v>
      </c>
      <c r="P30" s="18">
        <f t="shared" si="8"/>
        <v>9.9998493998585871E-3</v>
      </c>
      <c r="Q30" s="16"/>
      <c r="R30" s="16">
        <f>'BOS G1ND'!X23</f>
        <v>670.2</v>
      </c>
      <c r="S30" s="17">
        <f t="shared" si="3"/>
        <v>-0.45000000000004547</v>
      </c>
      <c r="T30" s="18">
        <f t="shared" si="4"/>
        <v>-6.7099082979206058E-4</v>
      </c>
      <c r="V30" s="17">
        <f t="shared" si="5"/>
        <v>47.840000000000032</v>
      </c>
      <c r="W30" s="20">
        <f t="shared" si="6"/>
        <v>7.6868693360755885E-2</v>
      </c>
      <c r="Y30" s="17"/>
    </row>
    <row r="31" spans="1:25" x14ac:dyDescent="0.3">
      <c r="A31" s="1">
        <f t="shared" si="0"/>
        <v>31</v>
      </c>
      <c r="B31" s="2" t="s">
        <v>15</v>
      </c>
      <c r="C31" s="2" t="s">
        <v>23</v>
      </c>
      <c r="D31" s="2" t="s">
        <v>22</v>
      </c>
      <c r="F31" s="14">
        <f>+'CAMB G1'!C23</f>
        <v>2700</v>
      </c>
      <c r="H31" s="15">
        <f>'CAMB G1'!$F$23</f>
        <v>705.99</v>
      </c>
      <c r="I31" s="15"/>
      <c r="J31" s="16">
        <f>'CAMB G1'!J23</f>
        <v>755.96</v>
      </c>
      <c r="K31" s="17">
        <f t="shared" si="1"/>
        <v>49.970000000000027</v>
      </c>
      <c r="L31" s="18">
        <f t="shared" si="2"/>
        <v>7.0780039377328324E-2</v>
      </c>
      <c r="M31" s="16"/>
      <c r="N31" s="16">
        <f>'CAMB G1'!Q23</f>
        <v>763.93</v>
      </c>
      <c r="O31" s="17">
        <f t="shared" si="7"/>
        <v>7.9699999999999136</v>
      </c>
      <c r="P31" s="18">
        <f t="shared" si="8"/>
        <v>1.0542885866976975E-2</v>
      </c>
      <c r="Q31" s="16"/>
      <c r="R31" s="16">
        <f>'CAMB G1'!X23</f>
        <v>763.39</v>
      </c>
      <c r="S31" s="17">
        <f t="shared" si="3"/>
        <v>-0.53999999999996362</v>
      </c>
      <c r="T31" s="18">
        <f t="shared" si="4"/>
        <v>-7.0687104839443882E-4</v>
      </c>
      <c r="V31" s="17">
        <f t="shared" si="5"/>
        <v>57.399999999999977</v>
      </c>
      <c r="W31" s="20">
        <f t="shared" si="6"/>
        <v>8.1304267765832341E-2</v>
      </c>
      <c r="Y31" s="17"/>
    </row>
    <row r="32" spans="1:25" x14ac:dyDescent="0.3">
      <c r="A32" s="1">
        <f t="shared" si="0"/>
        <v>32</v>
      </c>
      <c r="B32" s="2" t="s">
        <v>15</v>
      </c>
      <c r="C32" s="2" t="s">
        <v>24</v>
      </c>
      <c r="D32" s="2" t="s">
        <v>22</v>
      </c>
      <c r="F32" s="14">
        <f>+'SOUTH G1'!C23</f>
        <v>1650</v>
      </c>
      <c r="H32" s="15">
        <f>'SOUTH G1'!$F$23</f>
        <v>442.68</v>
      </c>
      <c r="I32" s="15"/>
      <c r="J32" s="16">
        <f>'SOUTH G1'!J23</f>
        <v>473.22</v>
      </c>
      <c r="K32" s="17">
        <f t="shared" si="1"/>
        <v>30.54000000000002</v>
      </c>
      <c r="L32" s="18">
        <f t="shared" si="2"/>
        <v>6.8988885876931458E-2</v>
      </c>
      <c r="M32" s="16"/>
      <c r="N32" s="16">
        <f>'SOUTH G1'!Q23</f>
        <v>478.09000000000003</v>
      </c>
      <c r="O32" s="17">
        <f t="shared" si="7"/>
        <v>4.8700000000000045</v>
      </c>
      <c r="P32" s="18">
        <f t="shared" si="8"/>
        <v>1.0291196483665112E-2</v>
      </c>
      <c r="Q32" s="16"/>
      <c r="R32" s="16">
        <f>'SOUTH G1'!X23</f>
        <v>477.76</v>
      </c>
      <c r="S32" s="17">
        <f t="shared" si="3"/>
        <v>-0.33000000000004093</v>
      </c>
      <c r="T32" s="18">
        <f t="shared" si="4"/>
        <v>-6.9024660628760469E-4</v>
      </c>
      <c r="V32" s="17">
        <f t="shared" si="5"/>
        <v>35.079999999999984</v>
      </c>
      <c r="W32" s="20">
        <f t="shared" si="6"/>
        <v>7.9244601066232906E-2</v>
      </c>
      <c r="Y32" s="17"/>
    </row>
    <row r="33" spans="1:25" x14ac:dyDescent="0.3">
      <c r="A33" s="1">
        <f t="shared" si="0"/>
        <v>33</v>
      </c>
      <c r="B33" s="13" t="s">
        <v>17</v>
      </c>
      <c r="C33" s="13" t="s">
        <v>17</v>
      </c>
      <c r="D33" s="2" t="s">
        <v>22</v>
      </c>
      <c r="F33" s="14">
        <f>+'WMA G1ND'!C22</f>
        <v>2140</v>
      </c>
      <c r="H33" s="15">
        <f>'WMA G1ND'!$F$22</f>
        <v>540.24</v>
      </c>
      <c r="I33" s="15"/>
      <c r="J33" s="16">
        <f>+'WMA G1ND'!J22</f>
        <v>579.84999999999991</v>
      </c>
      <c r="K33" s="17">
        <f t="shared" si="1"/>
        <v>39.6099999999999</v>
      </c>
      <c r="L33" s="18">
        <f t="shared" si="2"/>
        <v>7.3319265511624279E-2</v>
      </c>
      <c r="M33" s="16"/>
      <c r="N33" s="16">
        <f>'WMA G1ND'!Q22</f>
        <v>586.16</v>
      </c>
      <c r="O33" s="17">
        <f t="shared" si="7"/>
        <v>6.3100000000000591</v>
      </c>
      <c r="P33" s="18">
        <f t="shared" si="8"/>
        <v>1.0882124687419264E-2</v>
      </c>
      <c r="Q33" s="16"/>
      <c r="R33" s="16">
        <f>'WMA G1ND'!X22</f>
        <v>585.73</v>
      </c>
      <c r="S33" s="17">
        <f t="shared" si="3"/>
        <v>-0.42999999999994998</v>
      </c>
      <c r="T33" s="18">
        <f t="shared" si="4"/>
        <v>-7.3358809881252562E-4</v>
      </c>
      <c r="V33" s="17">
        <f t="shared" si="5"/>
        <v>45.490000000000009</v>
      </c>
      <c r="W33" s="20">
        <f t="shared" si="6"/>
        <v>8.4203317044276638E-2</v>
      </c>
      <c r="Y33" s="17"/>
    </row>
    <row r="34" spans="1:25" x14ac:dyDescent="0.3">
      <c r="A34" s="1">
        <f t="shared" si="0"/>
        <v>34</v>
      </c>
      <c r="H34" s="15"/>
      <c r="I34" s="15"/>
      <c r="J34" s="16"/>
      <c r="K34" s="17"/>
      <c r="L34" s="18"/>
      <c r="M34" s="19"/>
      <c r="N34" s="16"/>
      <c r="O34" s="17"/>
      <c r="P34" s="18"/>
      <c r="Q34" s="19"/>
      <c r="R34" s="16"/>
      <c r="S34" s="17"/>
      <c r="T34" s="18"/>
      <c r="V34" s="17"/>
      <c r="W34" s="20"/>
      <c r="Y34" s="17"/>
    </row>
    <row r="35" spans="1:25" x14ac:dyDescent="0.3">
      <c r="A35" s="1">
        <f t="shared" si="0"/>
        <v>35</v>
      </c>
      <c r="B35" s="2" t="s">
        <v>15</v>
      </c>
      <c r="C35" s="2" t="s">
        <v>21</v>
      </c>
      <c r="D35" s="2" t="s">
        <v>25</v>
      </c>
      <c r="E35" s="14">
        <f>+'BOS G1D'!C26</f>
        <v>10</v>
      </c>
      <c r="F35" s="14">
        <f>+'BOS G1D'!D26</f>
        <v>1000</v>
      </c>
      <c r="H35" s="15">
        <f>'BOS G1D'!$G$26</f>
        <v>215.96</v>
      </c>
      <c r="I35" s="15"/>
      <c r="J35" s="16">
        <f>'BOS G1D'!K26</f>
        <v>234.47000000000003</v>
      </c>
      <c r="K35" s="17">
        <f t="shared" si="1"/>
        <v>18.510000000000019</v>
      </c>
      <c r="L35" s="18">
        <f t="shared" si="2"/>
        <v>8.5710316725319591E-2</v>
      </c>
      <c r="M35" s="16"/>
      <c r="N35" s="16">
        <f>'BOS G1D'!R26</f>
        <v>237.42000000000002</v>
      </c>
      <c r="O35" s="17">
        <f t="shared" si="7"/>
        <v>2.9499999999999886</v>
      </c>
      <c r="P35" s="18">
        <f t="shared" si="8"/>
        <v>1.2581566938200998E-2</v>
      </c>
      <c r="Q35" s="16"/>
      <c r="R35" s="16">
        <f>'BOS G1D'!Y26</f>
        <v>237.22000000000003</v>
      </c>
      <c r="S35" s="17">
        <f t="shared" si="3"/>
        <v>-0.19999999999998863</v>
      </c>
      <c r="T35" s="18">
        <f t="shared" si="4"/>
        <v>-8.4238901524719318E-4</v>
      </c>
      <c r="V35" s="17">
        <f t="shared" si="5"/>
        <v>21.260000000000019</v>
      </c>
      <c r="W35" s="20">
        <f t="shared" si="6"/>
        <v>9.8444156325245502E-2</v>
      </c>
      <c r="Y35" s="17"/>
    </row>
    <row r="36" spans="1:25" x14ac:dyDescent="0.3">
      <c r="A36" s="1">
        <f t="shared" si="0"/>
        <v>36</v>
      </c>
      <c r="B36" s="2" t="s">
        <v>15</v>
      </c>
      <c r="C36" s="2" t="s">
        <v>21</v>
      </c>
      <c r="D36" s="2" t="s">
        <v>25</v>
      </c>
      <c r="E36" s="14">
        <f>+'BOS G1D'!C39</f>
        <v>16</v>
      </c>
      <c r="F36" s="14">
        <f>+'BOS G1D'!D39</f>
        <v>3840</v>
      </c>
      <c r="H36" s="15">
        <f>'BOS G1D'!$G$39</f>
        <v>992.99</v>
      </c>
      <c r="I36" s="15"/>
      <c r="J36" s="16">
        <f>'BOS G1D'!K39</f>
        <v>1064.07</v>
      </c>
      <c r="K36" s="17">
        <f t="shared" si="1"/>
        <v>71.079999999999927</v>
      </c>
      <c r="L36" s="18">
        <f t="shared" si="2"/>
        <v>7.1581788336236948E-2</v>
      </c>
      <c r="M36" s="16"/>
      <c r="N36" s="16">
        <f>'BOS G1D'!R39</f>
        <v>1075.4000000000001</v>
      </c>
      <c r="O36" s="17">
        <f t="shared" si="7"/>
        <v>11.330000000000155</v>
      </c>
      <c r="P36" s="18">
        <f t="shared" si="8"/>
        <v>1.0647795727724826E-2</v>
      </c>
      <c r="Q36" s="16"/>
      <c r="R36" s="16">
        <f>'BOS G1D'!Y39</f>
        <v>1074.6300000000001</v>
      </c>
      <c r="S36" s="17">
        <f t="shared" si="3"/>
        <v>-0.76999999999998181</v>
      </c>
      <c r="T36" s="18">
        <f t="shared" si="4"/>
        <v>-7.160126464571153E-4</v>
      </c>
      <c r="V36" s="17">
        <f t="shared" si="5"/>
        <v>81.6400000000001</v>
      </c>
      <c r="W36" s="20">
        <f t="shared" si="6"/>
        <v>8.2216336518998276E-2</v>
      </c>
      <c r="Y36" s="17"/>
    </row>
    <row r="37" spans="1:25" x14ac:dyDescent="0.3">
      <c r="A37" s="1">
        <f t="shared" si="0"/>
        <v>37</v>
      </c>
      <c r="B37" s="2" t="s">
        <v>15</v>
      </c>
      <c r="C37" s="2" t="s">
        <v>21</v>
      </c>
      <c r="D37" s="2" t="s">
        <v>25</v>
      </c>
      <c r="E37" s="14">
        <f>+'BOS G1D'!C52</f>
        <v>20</v>
      </c>
      <c r="F37" s="14">
        <f>+'BOS G1D'!D52</f>
        <v>8400</v>
      </c>
      <c r="H37" s="15">
        <f>'BOS G1D'!$G$52</f>
        <v>2033.57</v>
      </c>
      <c r="I37" s="15"/>
      <c r="J37" s="16">
        <f>'BOS G1D'!K52</f>
        <v>2189.0500000000002</v>
      </c>
      <c r="K37" s="17">
        <f t="shared" si="1"/>
        <v>155.48000000000025</v>
      </c>
      <c r="L37" s="18">
        <f t="shared" si="2"/>
        <v>7.6456674714910355E-2</v>
      </c>
      <c r="M37" s="16"/>
      <c r="N37" s="16">
        <f>'BOS G1D'!R52</f>
        <v>2213.83</v>
      </c>
      <c r="O37" s="17">
        <f t="shared" si="7"/>
        <v>24.779999999999745</v>
      </c>
      <c r="P37" s="18">
        <f t="shared" si="8"/>
        <v>1.1319978986318148E-2</v>
      </c>
      <c r="Q37" s="16"/>
      <c r="R37" s="16">
        <f>'BOS G1D'!Y52</f>
        <v>2212.1499999999996</v>
      </c>
      <c r="S37" s="17">
        <f t="shared" si="3"/>
        <v>-1.680000000000291</v>
      </c>
      <c r="T37" s="18">
        <f t="shared" si="4"/>
        <v>-7.5886585690874693E-4</v>
      </c>
      <c r="V37" s="17">
        <f t="shared" si="5"/>
        <v>178.5799999999997</v>
      </c>
      <c r="W37" s="20">
        <f t="shared" si="6"/>
        <v>8.7816008300673057E-2</v>
      </c>
      <c r="Y37" s="17"/>
    </row>
    <row r="38" spans="1:25" x14ac:dyDescent="0.3">
      <c r="A38" s="1">
        <f t="shared" si="0"/>
        <v>38</v>
      </c>
      <c r="F38" s="14"/>
      <c r="H38" s="15"/>
      <c r="I38" s="15"/>
      <c r="J38" s="16"/>
      <c r="K38" s="17"/>
      <c r="L38" s="18"/>
      <c r="M38" s="19"/>
      <c r="N38" s="16"/>
      <c r="O38" s="17"/>
      <c r="P38" s="18"/>
      <c r="Q38" s="19"/>
      <c r="R38" s="16"/>
      <c r="S38" s="17"/>
      <c r="T38" s="18"/>
      <c r="V38" s="17"/>
      <c r="W38" s="20"/>
      <c r="Y38" s="17"/>
    </row>
    <row r="39" spans="1:25" x14ac:dyDescent="0.3">
      <c r="A39" s="1">
        <f t="shared" si="0"/>
        <v>39</v>
      </c>
      <c r="B39" s="13" t="s">
        <v>17</v>
      </c>
      <c r="C39" s="13" t="s">
        <v>17</v>
      </c>
      <c r="D39" s="2" t="s">
        <v>25</v>
      </c>
      <c r="E39" s="14">
        <f>+'WMA G1D'!C20</f>
        <v>7</v>
      </c>
      <c r="F39" s="14">
        <f>+'WMA G1D'!D20</f>
        <v>630</v>
      </c>
      <c r="H39" s="15">
        <f>'WMA G1D'!$G$20</f>
        <v>252.9066</v>
      </c>
      <c r="I39" s="15"/>
      <c r="J39" s="16">
        <f>'WMA G1D'!K20</f>
        <v>264.56659999999999</v>
      </c>
      <c r="K39" s="17">
        <f t="shared" si="1"/>
        <v>11.659999999999997</v>
      </c>
      <c r="L39" s="18">
        <f t="shared" si="2"/>
        <v>4.6103976725004395E-2</v>
      </c>
      <c r="M39" s="16"/>
      <c r="N39" s="16">
        <f>'WMA G1D'!R20</f>
        <v>266.42660000000001</v>
      </c>
      <c r="O39" s="17">
        <f t="shared" si="7"/>
        <v>1.8600000000000136</v>
      </c>
      <c r="P39" s="18">
        <f t="shared" si="8"/>
        <v>7.0303658889671397E-3</v>
      </c>
      <c r="Q39" s="16"/>
      <c r="R39" s="16">
        <f>'WMA G1D'!Y20</f>
        <v>266.3066</v>
      </c>
      <c r="S39" s="17">
        <f t="shared" si="3"/>
        <v>-0.12000000000000455</v>
      </c>
      <c r="T39" s="18">
        <f t="shared" si="4"/>
        <v>-4.5040547753116448E-4</v>
      </c>
      <c r="V39" s="17">
        <f t="shared" si="5"/>
        <v>13.400000000000006</v>
      </c>
      <c r="W39" s="20">
        <f t="shared" si="6"/>
        <v>5.2983986973847284E-2</v>
      </c>
      <c r="Y39" s="17"/>
    </row>
    <row r="40" spans="1:25" x14ac:dyDescent="0.3">
      <c r="A40" s="1">
        <f t="shared" si="0"/>
        <v>40</v>
      </c>
      <c r="B40" s="13" t="s">
        <v>17</v>
      </c>
      <c r="C40" s="13" t="s">
        <v>17</v>
      </c>
      <c r="D40" s="2" t="s">
        <v>25</v>
      </c>
      <c r="E40" s="14">
        <f>+'WMA G1D'!C29</f>
        <v>10</v>
      </c>
      <c r="F40" s="14">
        <f>+'WMA G1D'!D29</f>
        <v>2300</v>
      </c>
      <c r="H40" s="15">
        <f>'WMA G1D'!$G$29</f>
        <v>606.71600000000001</v>
      </c>
      <c r="I40" s="15"/>
      <c r="J40" s="16">
        <f>'WMA G1D'!K29</f>
        <v>649.29600000000005</v>
      </c>
      <c r="K40" s="17">
        <f t="shared" si="1"/>
        <v>42.580000000000041</v>
      </c>
      <c r="L40" s="18">
        <f t="shared" si="2"/>
        <v>7.0181106151807504E-2</v>
      </c>
      <c r="M40" s="16"/>
      <c r="N40" s="16">
        <f>'WMA G1D'!R29</f>
        <v>656.07600000000002</v>
      </c>
      <c r="O40" s="17">
        <f t="shared" si="7"/>
        <v>6.7799999999999727</v>
      </c>
      <c r="P40" s="18">
        <f t="shared" si="8"/>
        <v>1.0442078805352216E-2</v>
      </c>
      <c r="Q40" s="16"/>
      <c r="R40" s="16">
        <f>'WMA G1D'!Y29</f>
        <v>655.61599999999999</v>
      </c>
      <c r="S40" s="17">
        <f t="shared" si="3"/>
        <v>-0.46000000000003638</v>
      </c>
      <c r="T40" s="18">
        <f t="shared" si="4"/>
        <v>-7.0113828275997962E-4</v>
      </c>
      <c r="V40" s="17">
        <f t="shared" si="5"/>
        <v>48.899999999999977</v>
      </c>
      <c r="W40" s="20">
        <f t="shared" si="6"/>
        <v>8.0597841494208122E-2</v>
      </c>
      <c r="Y40" s="17"/>
    </row>
    <row r="41" spans="1:25" x14ac:dyDescent="0.3">
      <c r="A41" s="1">
        <f t="shared" si="0"/>
        <v>41</v>
      </c>
      <c r="B41" s="13" t="s">
        <v>17</v>
      </c>
      <c r="C41" s="13" t="s">
        <v>17</v>
      </c>
      <c r="D41" s="2" t="s">
        <v>25</v>
      </c>
      <c r="E41" s="14">
        <f>+'WMA G1D'!C38</f>
        <v>11</v>
      </c>
      <c r="F41" s="14">
        <f>+'WMA G1D'!D38</f>
        <v>4565</v>
      </c>
      <c r="H41" s="15">
        <f>'WMA G1D'!$G$38</f>
        <v>1015.6383</v>
      </c>
      <c r="I41" s="15"/>
      <c r="J41" s="16">
        <f>'WMA G1D'!K38</f>
        <v>1100.1383000000001</v>
      </c>
      <c r="K41" s="17">
        <f t="shared" si="1"/>
        <v>84.500000000000114</v>
      </c>
      <c r="L41" s="18">
        <f t="shared" si="2"/>
        <v>8.3198910478267815E-2</v>
      </c>
      <c r="M41" s="16"/>
      <c r="N41" s="16">
        <f>'WMA G1D'!R38</f>
        <v>1113.5982999999999</v>
      </c>
      <c r="O41" s="17">
        <f t="shared" si="7"/>
        <v>13.459999999999809</v>
      </c>
      <c r="P41" s="18">
        <f t="shared" si="8"/>
        <v>1.2234825385135494E-2</v>
      </c>
      <c r="Q41" s="16"/>
      <c r="R41" s="16">
        <f>'WMA G1D'!Y38</f>
        <v>1112.6883</v>
      </c>
      <c r="S41" s="17">
        <f t="shared" si="3"/>
        <v>-0.90999999999985448</v>
      </c>
      <c r="T41" s="18">
        <f t="shared" si="4"/>
        <v>-8.1717078770671126E-4</v>
      </c>
      <c r="V41" s="17">
        <f t="shared" si="5"/>
        <v>97.050000000000068</v>
      </c>
      <c r="W41" s="20">
        <f t="shared" si="6"/>
        <v>9.5555671738649553E-2</v>
      </c>
      <c r="Y41" s="17"/>
    </row>
    <row r="42" spans="1:25" x14ac:dyDescent="0.3">
      <c r="A42" s="1">
        <f t="shared" si="0"/>
        <v>42</v>
      </c>
      <c r="B42" s="13"/>
      <c r="H42" s="15"/>
      <c r="I42" s="15"/>
      <c r="J42" s="16"/>
      <c r="K42" s="17"/>
      <c r="L42" s="18"/>
      <c r="M42" s="19"/>
      <c r="N42" s="16"/>
      <c r="O42" s="17"/>
      <c r="P42" s="18"/>
      <c r="Q42" s="19"/>
      <c r="R42" s="16"/>
      <c r="S42" s="17"/>
      <c r="T42" s="18"/>
      <c r="V42" s="17"/>
      <c r="W42" s="20"/>
      <c r="Y42" s="17"/>
    </row>
    <row r="43" spans="1:25" x14ac:dyDescent="0.3">
      <c r="A43" s="1">
        <f t="shared" si="0"/>
        <v>43</v>
      </c>
      <c r="B43" s="2" t="s">
        <v>15</v>
      </c>
      <c r="C43" s="2" t="s">
        <v>21</v>
      </c>
      <c r="D43" s="2" t="s">
        <v>26</v>
      </c>
      <c r="E43" s="14">
        <f>+'BOS G2 NEMA'!C25</f>
        <v>260</v>
      </c>
      <c r="F43" s="14">
        <f>+'BOS G2 NEMA'!D25</f>
        <v>63700</v>
      </c>
      <c r="H43" s="15">
        <f>'BOS G2 NEMA'!$G$25</f>
        <v>17120.349999999999</v>
      </c>
      <c r="I43" s="15"/>
      <c r="J43" s="16">
        <f>'BOS G2 NEMA'!K25</f>
        <v>18299.43</v>
      </c>
      <c r="K43" s="17">
        <f t="shared" si="1"/>
        <v>1179.0800000000017</v>
      </c>
      <c r="L43" s="18">
        <f t="shared" si="2"/>
        <v>6.8870087352186249E-2</v>
      </c>
      <c r="M43" s="16"/>
      <c r="N43" s="16">
        <f>'BOS G2 NEMA'!R25</f>
        <v>18487.349999999999</v>
      </c>
      <c r="O43" s="17">
        <f t="shared" si="7"/>
        <v>187.91999999999825</v>
      </c>
      <c r="P43" s="18">
        <f t="shared" si="8"/>
        <v>1.0269172318481956E-2</v>
      </c>
      <c r="Q43" s="16"/>
      <c r="R43" s="16">
        <f>'BOS G2 NEMA'!Y25</f>
        <v>18474.61</v>
      </c>
      <c r="S43" s="17">
        <f t="shared" si="3"/>
        <v>-12.739999999997963</v>
      </c>
      <c r="T43" s="18">
        <f t="shared" si="4"/>
        <v>-6.8911985763227095E-4</v>
      </c>
      <c r="V43" s="17">
        <f t="shared" si="5"/>
        <v>1354.260000000002</v>
      </c>
      <c r="W43" s="20">
        <f t="shared" si="6"/>
        <v>7.9102354799989616E-2</v>
      </c>
      <c r="Y43" s="17"/>
    </row>
    <row r="44" spans="1:25" x14ac:dyDescent="0.3">
      <c r="A44" s="1">
        <f t="shared" si="0"/>
        <v>44</v>
      </c>
      <c r="B44" s="2" t="s">
        <v>15</v>
      </c>
      <c r="C44" s="2" t="s">
        <v>21</v>
      </c>
      <c r="D44" s="2" t="s">
        <v>26</v>
      </c>
      <c r="E44" s="14">
        <f>+'BOS G2 NEMA'!C38</f>
        <v>285</v>
      </c>
      <c r="F44" s="14">
        <f>+'BOS G2 NEMA'!D38</f>
        <v>111150</v>
      </c>
      <c r="H44" s="15">
        <f>'BOS G2 NEMA'!$G$38</f>
        <v>24505.089999999997</v>
      </c>
      <c r="I44" s="15"/>
      <c r="J44" s="16">
        <f>'BOS G2 NEMA'!K38</f>
        <v>26562.47</v>
      </c>
      <c r="K44" s="17">
        <f t="shared" si="1"/>
        <v>2057.3800000000047</v>
      </c>
      <c r="L44" s="18">
        <f t="shared" si="2"/>
        <v>8.3957251330234045E-2</v>
      </c>
      <c r="M44" s="16"/>
      <c r="N44" s="16">
        <f>'BOS G2 NEMA'!R38</f>
        <v>26890.37</v>
      </c>
      <c r="O44" s="17">
        <f t="shared" si="7"/>
        <v>327.89999999999782</v>
      </c>
      <c r="P44" s="18">
        <f t="shared" si="8"/>
        <v>1.2344484530241269E-2</v>
      </c>
      <c r="Q44" s="16"/>
      <c r="R44" s="16">
        <f>'BOS G2 NEMA'!Y38</f>
        <v>26868.14</v>
      </c>
      <c r="S44" s="17">
        <f t="shared" si="3"/>
        <v>-22.229999999999563</v>
      </c>
      <c r="T44" s="18">
        <f t="shared" si="4"/>
        <v>-8.2669000091852821E-4</v>
      </c>
      <c r="V44" s="17">
        <f t="shared" si="5"/>
        <v>2363.0500000000029</v>
      </c>
      <c r="W44" s="20">
        <f t="shared" si="6"/>
        <v>9.643098637874839E-2</v>
      </c>
      <c r="Y44" s="17"/>
    </row>
    <row r="45" spans="1:25" x14ac:dyDescent="0.3">
      <c r="A45" s="1">
        <f t="shared" si="0"/>
        <v>45</v>
      </c>
      <c r="B45" s="2" t="s">
        <v>15</v>
      </c>
      <c r="C45" s="2" t="s">
        <v>21</v>
      </c>
      <c r="D45" s="2" t="s">
        <v>26</v>
      </c>
      <c r="E45" s="14">
        <f>+'BOS G2 NEMA'!C51</f>
        <v>308</v>
      </c>
      <c r="F45" s="14">
        <f>+'BOS G2 NEMA'!D51</f>
        <v>164780</v>
      </c>
      <c r="H45" s="15">
        <f>'BOS G2 NEMA'!$G$51</f>
        <v>32736.91</v>
      </c>
      <c r="I45" s="15"/>
      <c r="J45" s="16">
        <f>'BOS G2 NEMA'!K51</f>
        <v>35786.990000000005</v>
      </c>
      <c r="K45" s="17">
        <f t="shared" si="1"/>
        <v>3050.0800000000054</v>
      </c>
      <c r="L45" s="18">
        <f t="shared" si="2"/>
        <v>9.3169453072999425E-2</v>
      </c>
      <c r="M45" s="16"/>
      <c r="N45" s="16">
        <f>'BOS G2 NEMA'!R51</f>
        <v>36273.089999999997</v>
      </c>
      <c r="O45" s="17">
        <f t="shared" si="7"/>
        <v>486.09999999999127</v>
      </c>
      <c r="P45" s="18">
        <f t="shared" si="8"/>
        <v>1.3583148512909054E-2</v>
      </c>
      <c r="Q45" s="16"/>
      <c r="R45" s="16">
        <f>'BOS G2 NEMA'!Y51</f>
        <v>36240.14</v>
      </c>
      <c r="S45" s="17">
        <f t="shared" si="3"/>
        <v>-32.94999999999709</v>
      </c>
      <c r="T45" s="18">
        <f t="shared" si="4"/>
        <v>-9.0838690610579615E-4</v>
      </c>
      <c r="V45" s="17">
        <f t="shared" si="5"/>
        <v>3503.2299999999996</v>
      </c>
      <c r="W45" s="20">
        <f t="shared" si="6"/>
        <v>0.10701162693730103</v>
      </c>
      <c r="Y45" s="17"/>
    </row>
    <row r="46" spans="1:25" x14ac:dyDescent="0.3">
      <c r="A46" s="1">
        <f t="shared" si="0"/>
        <v>46</v>
      </c>
      <c r="H46" s="15"/>
      <c r="I46" s="15"/>
      <c r="J46" s="16"/>
      <c r="K46" s="17"/>
      <c r="L46" s="18"/>
      <c r="M46" s="19"/>
      <c r="N46" s="16"/>
      <c r="O46" s="17"/>
      <c r="P46" s="18"/>
      <c r="Q46" s="19"/>
      <c r="R46" s="16"/>
      <c r="S46" s="17"/>
      <c r="T46" s="18"/>
      <c r="V46" s="17"/>
      <c r="W46" s="20"/>
      <c r="Y46" s="17"/>
    </row>
    <row r="47" spans="1:25" x14ac:dyDescent="0.3">
      <c r="A47" s="1">
        <f t="shared" si="0"/>
        <v>47</v>
      </c>
      <c r="B47" s="2" t="s">
        <v>15</v>
      </c>
      <c r="C47" s="2" t="s">
        <v>21</v>
      </c>
      <c r="D47" s="2" t="s">
        <v>27</v>
      </c>
      <c r="E47" s="14">
        <f>+'BOS G2 SEMA'!C25</f>
        <v>260</v>
      </c>
      <c r="F47" s="14">
        <f>+'BOS G2 SEMA'!D25</f>
        <v>63700</v>
      </c>
      <c r="H47" s="15">
        <f>'BOS G2 SEMA'!$G$25</f>
        <v>18038.900000000001</v>
      </c>
      <c r="I47" s="15"/>
      <c r="J47" s="16">
        <f>'BOS G2 SEMA'!K25</f>
        <v>19217.98</v>
      </c>
      <c r="K47" s="17">
        <f t="shared" si="1"/>
        <v>1179.0799999999981</v>
      </c>
      <c r="L47" s="18">
        <f t="shared" si="2"/>
        <v>6.5363187334039105E-2</v>
      </c>
      <c r="M47" s="16"/>
      <c r="N47" s="16">
        <f>'BOS G2 SEMA'!R25</f>
        <v>19405.900000000001</v>
      </c>
      <c r="O47" s="17">
        <f t="shared" si="7"/>
        <v>187.92000000000189</v>
      </c>
      <c r="P47" s="18">
        <f t="shared" si="8"/>
        <v>9.7783429892216514E-3</v>
      </c>
      <c r="Q47" s="16"/>
      <c r="R47" s="16">
        <f>'BOS G2 SEMA'!Y25</f>
        <v>19393.16</v>
      </c>
      <c r="S47" s="17">
        <f t="shared" si="3"/>
        <v>-12.740000000001601</v>
      </c>
      <c r="T47" s="18">
        <f t="shared" si="4"/>
        <v>-6.5650137329377142E-4</v>
      </c>
      <c r="V47" s="17">
        <f t="shared" si="5"/>
        <v>1354.2599999999984</v>
      </c>
      <c r="W47" s="20">
        <f t="shared" si="6"/>
        <v>7.5074422498045801E-2</v>
      </c>
      <c r="Y47" s="17"/>
    </row>
    <row r="48" spans="1:25" x14ac:dyDescent="0.3">
      <c r="A48" s="1">
        <f t="shared" si="0"/>
        <v>48</v>
      </c>
      <c r="B48" s="2" t="s">
        <v>15</v>
      </c>
      <c r="C48" s="2" t="s">
        <v>21</v>
      </c>
      <c r="D48" s="2" t="s">
        <v>27</v>
      </c>
      <c r="E48" s="14">
        <f>+'BOS G2 SEMA'!C38</f>
        <v>285</v>
      </c>
      <c r="F48" s="14">
        <f>+'BOS G2 SEMA'!D38</f>
        <v>111150</v>
      </c>
      <c r="H48" s="15">
        <f>'BOS G2 SEMA'!$G$38</f>
        <v>26107.87</v>
      </c>
      <c r="I48" s="15"/>
      <c r="J48" s="16">
        <f>'BOS G2 SEMA'!K38</f>
        <v>28165.25</v>
      </c>
      <c r="K48" s="17">
        <f t="shared" si="1"/>
        <v>2057.380000000001</v>
      </c>
      <c r="L48" s="18">
        <f t="shared" si="2"/>
        <v>7.8803058234930737E-2</v>
      </c>
      <c r="M48" s="16"/>
      <c r="N48" s="16">
        <f>'BOS G2 SEMA'!R38</f>
        <v>28493.15</v>
      </c>
      <c r="O48" s="17">
        <f t="shared" si="7"/>
        <v>327.90000000000146</v>
      </c>
      <c r="P48" s="18">
        <f t="shared" si="8"/>
        <v>1.1642005663006771E-2</v>
      </c>
      <c r="Q48" s="16"/>
      <c r="R48" s="16">
        <f>'BOS G2 SEMA'!Y38</f>
        <v>28470.92</v>
      </c>
      <c r="S48" s="17">
        <f t="shared" si="3"/>
        <v>-22.230000000003201</v>
      </c>
      <c r="T48" s="18">
        <f t="shared" si="4"/>
        <v>-7.8018751875461999E-4</v>
      </c>
      <c r="V48" s="17">
        <f t="shared" si="5"/>
        <v>2363.0499999999993</v>
      </c>
      <c r="W48" s="20">
        <f t="shared" si="6"/>
        <v>9.0511022155388365E-2</v>
      </c>
      <c r="Y48" s="17"/>
    </row>
    <row r="49" spans="1:25" x14ac:dyDescent="0.3">
      <c r="A49" s="1">
        <f t="shared" si="0"/>
        <v>49</v>
      </c>
      <c r="B49" s="2" t="s">
        <v>15</v>
      </c>
      <c r="C49" s="2" t="s">
        <v>21</v>
      </c>
      <c r="D49" s="2" t="s">
        <v>27</v>
      </c>
      <c r="E49" s="14">
        <f>+'BOS G2 SEMA'!C51</f>
        <v>308</v>
      </c>
      <c r="F49" s="14">
        <f>+'BOS G2 SEMA'!D51</f>
        <v>164780</v>
      </c>
      <c r="H49" s="15">
        <f>'BOS G2 SEMA'!$G$51</f>
        <v>35113.040000000001</v>
      </c>
      <c r="I49" s="15"/>
      <c r="J49" s="16">
        <f>'BOS G2 SEMA'!K51</f>
        <v>38163.120000000003</v>
      </c>
      <c r="K49" s="17">
        <f t="shared" si="1"/>
        <v>3050.0800000000017</v>
      </c>
      <c r="L49" s="18">
        <f t="shared" si="2"/>
        <v>8.6864595033639969E-2</v>
      </c>
      <c r="M49" s="16"/>
      <c r="N49" s="16">
        <f>'BOS G2 SEMA'!R51</f>
        <v>38649.22</v>
      </c>
      <c r="O49" s="17">
        <f t="shared" si="7"/>
        <v>486.09999999999854</v>
      </c>
      <c r="P49" s="18">
        <f t="shared" si="8"/>
        <v>1.2737428176731843E-2</v>
      </c>
      <c r="Q49" s="16"/>
      <c r="R49" s="16">
        <f>'BOS G2 SEMA'!Y51</f>
        <v>38616.270000000004</v>
      </c>
      <c r="S49" s="17">
        <f t="shared" si="3"/>
        <v>-32.94999999999709</v>
      </c>
      <c r="T49" s="18">
        <f t="shared" si="4"/>
        <v>-8.5253984427103799E-4</v>
      </c>
      <c r="V49" s="17">
        <f t="shared" si="5"/>
        <v>3503.2300000000032</v>
      </c>
      <c r="W49" s="20">
        <f t="shared" si="6"/>
        <v>9.9770056936112711E-2</v>
      </c>
      <c r="Y49" s="17"/>
    </row>
    <row r="50" spans="1:25" x14ac:dyDescent="0.3">
      <c r="A50" s="1">
        <f t="shared" si="0"/>
        <v>50</v>
      </c>
      <c r="H50" s="15"/>
      <c r="I50" s="15"/>
      <c r="J50" s="16"/>
      <c r="K50" s="17"/>
      <c r="L50" s="18"/>
      <c r="M50" s="19"/>
      <c r="N50" s="16"/>
      <c r="O50" s="17"/>
      <c r="P50" s="18"/>
      <c r="Q50" s="19"/>
      <c r="R50" s="16"/>
      <c r="S50" s="17"/>
      <c r="T50" s="18"/>
      <c r="V50" s="17"/>
      <c r="W50" s="20"/>
      <c r="Y50" s="17"/>
    </row>
    <row r="51" spans="1:25" x14ac:dyDescent="0.3">
      <c r="A51" s="1">
        <f t="shared" si="0"/>
        <v>51</v>
      </c>
      <c r="B51" s="2" t="s">
        <v>15</v>
      </c>
      <c r="C51" s="2" t="s">
        <v>23</v>
      </c>
      <c r="D51" s="2" t="s">
        <v>28</v>
      </c>
      <c r="E51" s="14">
        <f>+'CAMB G2'!C22</f>
        <v>332</v>
      </c>
      <c r="F51" s="14">
        <f>+'CAMB G2'!D22</f>
        <v>94620</v>
      </c>
      <c r="H51" s="15">
        <f>'CAMB G2'!G22</f>
        <v>20552.84</v>
      </c>
      <c r="I51" s="15"/>
      <c r="J51" s="15">
        <f>'CAMB G2'!K22</f>
        <v>22304.25</v>
      </c>
      <c r="K51" s="17">
        <f t="shared" si="1"/>
        <v>1751.4099999999999</v>
      </c>
      <c r="L51" s="18">
        <f t="shared" si="2"/>
        <v>8.5214987320487087E-2</v>
      </c>
      <c r="M51" s="19"/>
      <c r="N51" s="16">
        <f>'CAMB G2'!R22</f>
        <v>22583.38</v>
      </c>
      <c r="O51" s="17">
        <f t="shared" si="7"/>
        <v>279.13000000000102</v>
      </c>
      <c r="P51" s="18">
        <f t="shared" si="8"/>
        <v>1.2514655278702535E-2</v>
      </c>
      <c r="Q51" s="19"/>
      <c r="R51" s="16">
        <f>'CAMB G2'!Y22</f>
        <v>22564.46</v>
      </c>
      <c r="S51" s="17">
        <f t="shared" si="3"/>
        <v>-18.920000000001892</v>
      </c>
      <c r="T51" s="18">
        <f t="shared" si="4"/>
        <v>-8.3778424664518296E-4</v>
      </c>
      <c r="V51" s="17">
        <f t="shared" si="5"/>
        <v>2011.619999999999</v>
      </c>
      <c r="W51" s="20">
        <f t="shared" si="6"/>
        <v>9.7875524744998693E-2</v>
      </c>
      <c r="Y51" s="17"/>
    </row>
    <row r="52" spans="1:25" x14ac:dyDescent="0.3">
      <c r="A52" s="1">
        <f t="shared" si="0"/>
        <v>52</v>
      </c>
      <c r="B52" s="2" t="s">
        <v>15</v>
      </c>
      <c r="C52" s="2" t="s">
        <v>23</v>
      </c>
      <c r="D52" s="2" t="s">
        <v>28</v>
      </c>
      <c r="E52" s="14">
        <f>+'CAMB G2'!C32</f>
        <v>370</v>
      </c>
      <c r="F52" s="14">
        <f>+'CAMB G2'!D32</f>
        <v>157250</v>
      </c>
      <c r="H52" s="15">
        <f>'CAMB G2'!G32</f>
        <v>30832.59</v>
      </c>
      <c r="I52" s="15"/>
      <c r="J52" s="15">
        <f>'CAMB G2'!K32</f>
        <v>33743.279999999999</v>
      </c>
      <c r="K52" s="17">
        <f t="shared" si="1"/>
        <v>2910.6899999999987</v>
      </c>
      <c r="L52" s="18">
        <f t="shared" si="2"/>
        <v>9.4403032635273221E-2</v>
      </c>
      <c r="M52" s="19"/>
      <c r="N52" s="16">
        <f>'CAMB G2'!R32</f>
        <v>34207.17</v>
      </c>
      <c r="O52" s="17">
        <f t="shared" si="7"/>
        <v>463.88999999999942</v>
      </c>
      <c r="P52" s="18">
        <f t="shared" si="8"/>
        <v>1.3747626194015502E-2</v>
      </c>
      <c r="Q52" s="19"/>
      <c r="R52" s="16">
        <f>'CAMB G2'!Y32</f>
        <v>34175.72</v>
      </c>
      <c r="S52" s="17">
        <f t="shared" si="3"/>
        <v>-31.44999999999709</v>
      </c>
      <c r="T52" s="18">
        <f t="shared" si="4"/>
        <v>-9.193978923131347E-4</v>
      </c>
      <c r="V52" s="17">
        <f t="shared" si="5"/>
        <v>3343.130000000001</v>
      </c>
      <c r="W52" s="20">
        <f t="shared" si="6"/>
        <v>0.10842845184267688</v>
      </c>
      <c r="Y52" s="17"/>
    </row>
    <row r="53" spans="1:25" x14ac:dyDescent="0.3">
      <c r="A53" s="1">
        <f t="shared" si="0"/>
        <v>53</v>
      </c>
      <c r="B53" s="2" t="s">
        <v>15</v>
      </c>
      <c r="C53" s="2" t="s">
        <v>23</v>
      </c>
      <c r="D53" s="2" t="s">
        <v>28</v>
      </c>
      <c r="E53" s="14">
        <f>+'CAMB G2'!C42</f>
        <v>290</v>
      </c>
      <c r="F53" s="14">
        <f>+'CAMB G2'!D42</f>
        <v>160950</v>
      </c>
      <c r="H53" s="15">
        <f>'CAMB G2'!G42</f>
        <v>29968.510000000002</v>
      </c>
      <c r="I53" s="15"/>
      <c r="J53" s="15">
        <f>'CAMB G2'!K42</f>
        <v>32947.699999999997</v>
      </c>
      <c r="K53" s="17">
        <f t="shared" si="1"/>
        <v>2979.1899999999951</v>
      </c>
      <c r="L53" s="18">
        <f t="shared" si="2"/>
        <v>9.9410681411921872E-2</v>
      </c>
      <c r="M53" s="19"/>
      <c r="N53" s="16">
        <f>'CAMB G2'!R42</f>
        <v>33422.5</v>
      </c>
      <c r="O53" s="17">
        <f t="shared" si="7"/>
        <v>474.80000000000291</v>
      </c>
      <c r="P53" s="18">
        <f t="shared" si="8"/>
        <v>1.4410717591819852E-2</v>
      </c>
      <c r="Q53" s="19"/>
      <c r="R53" s="16">
        <f>'CAMB G2'!Y42</f>
        <v>33390.31</v>
      </c>
      <c r="S53" s="17">
        <f t="shared" si="3"/>
        <v>-32.190000000002328</v>
      </c>
      <c r="T53" s="18">
        <f t="shared" si="4"/>
        <v>-9.6312364425169656E-4</v>
      </c>
      <c r="V53" s="17">
        <f t="shared" si="5"/>
        <v>3421.7999999999956</v>
      </c>
      <c r="W53" s="20">
        <f t="shared" si="6"/>
        <v>0.11417985078337213</v>
      </c>
      <c r="Y53" s="17"/>
    </row>
    <row r="54" spans="1:25" x14ac:dyDescent="0.3">
      <c r="A54" s="1">
        <f t="shared" si="0"/>
        <v>54</v>
      </c>
      <c r="H54" s="15"/>
      <c r="I54" s="15"/>
      <c r="J54" s="16"/>
      <c r="K54" s="17"/>
      <c r="L54" s="18"/>
      <c r="M54" s="19"/>
      <c r="N54" s="16"/>
      <c r="O54" s="17"/>
      <c r="P54" s="18"/>
      <c r="Q54" s="19"/>
      <c r="R54" s="16"/>
      <c r="S54" s="17"/>
      <c r="T54" s="18"/>
      <c r="V54" s="17"/>
      <c r="W54" s="20"/>
      <c r="Y54" s="17"/>
    </row>
    <row r="55" spans="1:25" x14ac:dyDescent="0.3">
      <c r="A55" s="1">
        <f t="shared" si="0"/>
        <v>55</v>
      </c>
      <c r="B55" s="2" t="s">
        <v>15</v>
      </c>
      <c r="C55" s="2" t="s">
        <v>24</v>
      </c>
      <c r="D55" s="2" t="s">
        <v>28</v>
      </c>
      <c r="E55" s="14">
        <f>+'SOUTH G2'!C22</f>
        <v>215</v>
      </c>
      <c r="F55" s="14">
        <f>+'SOUTH G2'!D22</f>
        <v>39775</v>
      </c>
      <c r="H55" s="15">
        <f>'SOUTH G2'!G22</f>
        <v>10514.83</v>
      </c>
      <c r="I55" s="15"/>
      <c r="J55" s="15">
        <f>'SOUTH G2'!K22</f>
        <v>11251.07</v>
      </c>
      <c r="K55" s="17">
        <f t="shared" si="1"/>
        <v>736.23999999999978</v>
      </c>
      <c r="L55" s="18">
        <f t="shared" si="2"/>
        <v>7.0019201451663959E-2</v>
      </c>
      <c r="M55" s="19"/>
      <c r="N55" s="15">
        <f>'SOUTH G2'!R22</f>
        <v>11368.4</v>
      </c>
      <c r="O55" s="17">
        <f t="shared" si="7"/>
        <v>117.32999999999993</v>
      </c>
      <c r="P55" s="18">
        <f t="shared" si="8"/>
        <v>1.042834148218791E-2</v>
      </c>
      <c r="Q55" s="19"/>
      <c r="R55" s="15">
        <f>'SOUTH G2'!Y22</f>
        <v>11360.45</v>
      </c>
      <c r="S55" s="17">
        <f t="shared" si="3"/>
        <v>-7.9499999999989086</v>
      </c>
      <c r="T55" s="18">
        <f t="shared" si="4"/>
        <v>-6.9930685056814577E-4</v>
      </c>
      <c r="V55" s="17">
        <f t="shared" si="5"/>
        <v>845.6200000000008</v>
      </c>
      <c r="W55" s="20">
        <f t="shared" si="6"/>
        <v>8.0421652085673354E-2</v>
      </c>
      <c r="Y55" s="17"/>
    </row>
    <row r="56" spans="1:25" x14ac:dyDescent="0.3">
      <c r="A56" s="1">
        <f t="shared" si="0"/>
        <v>56</v>
      </c>
      <c r="B56" s="2" t="s">
        <v>15</v>
      </c>
      <c r="C56" s="2" t="s">
        <v>24</v>
      </c>
      <c r="D56" s="2" t="s">
        <v>28</v>
      </c>
      <c r="E56" s="14">
        <f>+'SOUTH G2'!C32</f>
        <v>209</v>
      </c>
      <c r="F56" s="14">
        <f>+'SOUTH G2'!D32</f>
        <v>75240</v>
      </c>
      <c r="H56" s="15">
        <f>'SOUTH G2'!G32</f>
        <v>16363.51</v>
      </c>
      <c r="I56" s="15"/>
      <c r="J56" s="15">
        <f>'SOUTH G2'!K32</f>
        <v>17756.2</v>
      </c>
      <c r="K56" s="17">
        <f t="shared" si="1"/>
        <v>1392.6900000000005</v>
      </c>
      <c r="L56" s="18">
        <f t="shared" si="2"/>
        <v>8.5109490567732746E-2</v>
      </c>
      <c r="M56" s="19"/>
      <c r="N56" s="15">
        <f>'SOUTH G2'!R32</f>
        <v>17978.16</v>
      </c>
      <c r="O56" s="17">
        <f t="shared" si="7"/>
        <v>221.95999999999913</v>
      </c>
      <c r="P56" s="18">
        <f t="shared" si="8"/>
        <v>1.2500422387672988E-2</v>
      </c>
      <c r="Q56" s="19"/>
      <c r="R56" s="15">
        <f>'SOUTH G2'!Y32</f>
        <v>17963.11</v>
      </c>
      <c r="S56" s="17">
        <f t="shared" si="3"/>
        <v>-15.049999999999272</v>
      </c>
      <c r="T56" s="18">
        <f t="shared" si="4"/>
        <v>-8.371268249920611E-4</v>
      </c>
      <c r="V56" s="17">
        <f t="shared" si="5"/>
        <v>1599.6000000000004</v>
      </c>
      <c r="W56" s="20">
        <f t="shared" si="6"/>
        <v>9.7754088212125653E-2</v>
      </c>
      <c r="Y56" s="17"/>
    </row>
    <row r="57" spans="1:25" x14ac:dyDescent="0.3">
      <c r="A57" s="1">
        <f t="shared" si="0"/>
        <v>57</v>
      </c>
      <c r="B57" s="2" t="s">
        <v>15</v>
      </c>
      <c r="C57" s="2" t="s">
        <v>24</v>
      </c>
      <c r="D57" s="2" t="s">
        <v>28</v>
      </c>
      <c r="E57" s="14">
        <f>+'SOUTH G2'!C42</f>
        <v>207</v>
      </c>
      <c r="F57" s="14">
        <f>+'SOUTH G2'!D42</f>
        <v>101430</v>
      </c>
      <c r="H57" s="15">
        <f>'SOUTH G2'!G42</f>
        <v>20721.93</v>
      </c>
      <c r="I57" s="15"/>
      <c r="J57" s="15">
        <f>'SOUTH G2'!K42</f>
        <v>22599.4</v>
      </c>
      <c r="K57" s="17">
        <f t="shared" si="1"/>
        <v>1877.4700000000012</v>
      </c>
      <c r="L57" s="18">
        <f t="shared" si="2"/>
        <v>9.0603047109994159E-2</v>
      </c>
      <c r="M57" s="19"/>
      <c r="N57" s="15">
        <f>'SOUTH G2'!R42</f>
        <v>22898.620000000003</v>
      </c>
      <c r="O57" s="17">
        <f t="shared" si="7"/>
        <v>299.22000000000116</v>
      </c>
      <c r="P57" s="18">
        <f t="shared" si="8"/>
        <v>1.3240174517907606E-2</v>
      </c>
      <c r="Q57" s="19"/>
      <c r="R57" s="15">
        <f>'SOUTH G2'!Y42</f>
        <v>22878.33</v>
      </c>
      <c r="S57" s="17">
        <f t="shared" si="3"/>
        <v>-20.290000000000873</v>
      </c>
      <c r="T57" s="18">
        <f t="shared" si="4"/>
        <v>-8.8607959780986239E-4</v>
      </c>
      <c r="V57" s="17">
        <f t="shared" si="5"/>
        <v>2156.4000000000015</v>
      </c>
      <c r="W57" s="20">
        <f t="shared" si="6"/>
        <v>0.10406366588440369</v>
      </c>
      <c r="Y57" s="17"/>
    </row>
    <row r="58" spans="1:25" x14ac:dyDescent="0.3">
      <c r="A58" s="1">
        <f t="shared" si="0"/>
        <v>58</v>
      </c>
      <c r="H58" s="15"/>
      <c r="I58" s="15"/>
      <c r="J58" s="16"/>
      <c r="K58" s="17"/>
      <c r="L58" s="18"/>
      <c r="M58" s="19"/>
      <c r="N58" s="16"/>
      <c r="O58" s="17"/>
      <c r="P58" s="18"/>
      <c r="Q58" s="19"/>
      <c r="R58" s="16"/>
      <c r="S58" s="17"/>
      <c r="T58" s="18"/>
      <c r="V58" s="17"/>
      <c r="W58" s="20"/>
      <c r="Y58" s="17"/>
    </row>
    <row r="59" spans="1:25" x14ac:dyDescent="0.3">
      <c r="A59" s="1">
        <f t="shared" si="0"/>
        <v>59</v>
      </c>
      <c r="B59" s="13" t="s">
        <v>17</v>
      </c>
      <c r="C59" s="13" t="s">
        <v>17</v>
      </c>
      <c r="D59" s="2" t="s">
        <v>28</v>
      </c>
      <c r="E59" s="14">
        <f>+'WMA G2'!C20</f>
        <v>140</v>
      </c>
      <c r="F59" s="14">
        <f>+'WMA G2'!D20</f>
        <v>25900</v>
      </c>
      <c r="H59" s="15">
        <f>'WMA G2'!G20</f>
        <v>6563.07</v>
      </c>
      <c r="I59" s="15"/>
      <c r="J59" s="15">
        <f>'WMA G2'!K20</f>
        <v>7042.4699999999993</v>
      </c>
      <c r="K59" s="17">
        <f t="shared" si="1"/>
        <v>479.39999999999964</v>
      </c>
      <c r="L59" s="18">
        <f t="shared" si="2"/>
        <v>7.3045084084125217E-2</v>
      </c>
      <c r="M59" s="19"/>
      <c r="N59" s="15">
        <f>'WMA G2'!R20</f>
        <v>7118.8799999999992</v>
      </c>
      <c r="O59" s="17">
        <f t="shared" si="7"/>
        <v>76.409999999999854</v>
      </c>
      <c r="P59" s="18">
        <f t="shared" si="8"/>
        <v>1.0849886474489754E-2</v>
      </c>
      <c r="Q59" s="19"/>
      <c r="R59" s="15">
        <f>'WMA G2'!Y20</f>
        <v>7113.7000000000007</v>
      </c>
      <c r="S59" s="17">
        <f t="shared" si="3"/>
        <v>-5.179999999998472</v>
      </c>
      <c r="T59" s="18">
        <f t="shared" si="4"/>
        <v>-7.2764255051334934E-4</v>
      </c>
      <c r="V59" s="17">
        <f t="shared" si="5"/>
        <v>550.63000000000102</v>
      </c>
      <c r="W59" s="20">
        <f t="shared" si="6"/>
        <v>8.3898236648397934E-2</v>
      </c>
      <c r="Y59" s="17"/>
    </row>
    <row r="60" spans="1:25" x14ac:dyDescent="0.3">
      <c r="A60" s="1">
        <f t="shared" si="0"/>
        <v>60</v>
      </c>
      <c r="B60" s="13" t="s">
        <v>17</v>
      </c>
      <c r="C60" s="13" t="s">
        <v>17</v>
      </c>
      <c r="D60" s="2" t="s">
        <v>28</v>
      </c>
      <c r="E60" s="14">
        <f>+'WMA G2'!C29</f>
        <v>122</v>
      </c>
      <c r="F60" s="14">
        <f>+'WMA G2'!D29</f>
        <v>42700</v>
      </c>
      <c r="H60" s="15">
        <f>'WMA G2'!G29</f>
        <v>8233.130000000001</v>
      </c>
      <c r="I60" s="15"/>
      <c r="J60" s="15">
        <f>'WMA G2'!K29</f>
        <v>9023.5</v>
      </c>
      <c r="K60" s="17">
        <f t="shared" si="1"/>
        <v>790.36999999999898</v>
      </c>
      <c r="L60" s="18">
        <f t="shared" si="2"/>
        <v>9.59987270940698E-2</v>
      </c>
      <c r="M60" s="19"/>
      <c r="N60" s="15">
        <f>'WMA G2'!R29</f>
        <v>9149.4700000000012</v>
      </c>
      <c r="O60" s="17">
        <f t="shared" si="7"/>
        <v>125.97000000000116</v>
      </c>
      <c r="P60" s="18">
        <f t="shared" si="8"/>
        <v>1.3960214994181987E-2</v>
      </c>
      <c r="Q60" s="19"/>
      <c r="R60" s="15">
        <f>'WMA G2'!Y29</f>
        <v>9140.93</v>
      </c>
      <c r="S60" s="17">
        <f t="shared" si="3"/>
        <v>-8.5400000000008731</v>
      </c>
      <c r="T60" s="18">
        <f t="shared" si="4"/>
        <v>-9.3338739839584934E-4</v>
      </c>
      <c r="V60" s="17">
        <f t="shared" si="5"/>
        <v>907.79999999999927</v>
      </c>
      <c r="W60" s="20">
        <f t="shared" si="6"/>
        <v>0.11026183237723675</v>
      </c>
      <c r="Y60" s="17"/>
    </row>
    <row r="61" spans="1:25" x14ac:dyDescent="0.3">
      <c r="A61" s="1">
        <f t="shared" si="0"/>
        <v>61</v>
      </c>
      <c r="B61" s="13" t="s">
        <v>17</v>
      </c>
      <c r="C61" s="13" t="s">
        <v>17</v>
      </c>
      <c r="D61" s="2" t="s">
        <v>28</v>
      </c>
      <c r="E61" s="14">
        <f>+'WMA G2'!C38</f>
        <v>125</v>
      </c>
      <c r="F61" s="14">
        <f>+'WMA G2'!D38</f>
        <v>60625</v>
      </c>
      <c r="H61" s="15">
        <f>'WMA G2'!G38</f>
        <v>10528.41</v>
      </c>
      <c r="I61" s="15"/>
      <c r="J61" s="15">
        <f>'WMA G2'!K38</f>
        <v>11650.58</v>
      </c>
      <c r="K61" s="17">
        <f t="shared" si="1"/>
        <v>1122.17</v>
      </c>
      <c r="L61" s="18">
        <f t="shared" si="2"/>
        <v>0.10658494492520713</v>
      </c>
      <c r="M61" s="19"/>
      <c r="N61" s="15">
        <f>'WMA G2'!R38</f>
        <v>11829.419999999998</v>
      </c>
      <c r="O61" s="17">
        <f t="shared" si="7"/>
        <v>178.83999999999833</v>
      </c>
      <c r="P61" s="18">
        <f t="shared" si="8"/>
        <v>1.5350308739993917E-2</v>
      </c>
      <c r="Q61" s="19"/>
      <c r="R61" s="15">
        <f>'WMA G2'!Y38</f>
        <v>11817.3</v>
      </c>
      <c r="S61" s="17">
        <f t="shared" si="3"/>
        <v>-12.119999999998981</v>
      </c>
      <c r="T61" s="18">
        <f t="shared" si="4"/>
        <v>-1.0245641798159997E-3</v>
      </c>
      <c r="V61" s="17">
        <f t="shared" si="5"/>
        <v>1288.8899999999994</v>
      </c>
      <c r="W61" s="20">
        <f t="shared" si="6"/>
        <v>0.12242019450230371</v>
      </c>
      <c r="Y61" s="17"/>
    </row>
    <row r="62" spans="1:25" x14ac:dyDescent="0.3">
      <c r="A62" s="1">
        <f t="shared" si="0"/>
        <v>62</v>
      </c>
      <c r="B62" s="13"/>
      <c r="H62" s="15"/>
      <c r="I62" s="15"/>
      <c r="J62" s="16"/>
      <c r="K62" s="17"/>
      <c r="L62" s="18"/>
      <c r="M62" s="19"/>
      <c r="N62" s="16"/>
      <c r="O62" s="17"/>
      <c r="P62" s="18"/>
      <c r="Q62" s="19"/>
      <c r="R62" s="16"/>
      <c r="S62" s="17"/>
      <c r="T62" s="18"/>
      <c r="V62" s="17"/>
      <c r="W62" s="20"/>
      <c r="Y62" s="17"/>
    </row>
    <row r="63" spans="1:25" x14ac:dyDescent="0.3">
      <c r="A63" s="1">
        <f t="shared" si="0"/>
        <v>63</v>
      </c>
      <c r="B63" s="2" t="s">
        <v>15</v>
      </c>
      <c r="C63" s="2" t="s">
        <v>21</v>
      </c>
      <c r="D63" s="2" t="s">
        <v>29</v>
      </c>
      <c r="E63" s="14">
        <f>+'BOS G3 NEMA'!C24</f>
        <v>600</v>
      </c>
      <c r="F63" s="14">
        <f>+'BOS G3 NEMA'!D24</f>
        <v>162000</v>
      </c>
      <c r="H63" s="15">
        <f>'BOS G3 NEMA'!G24</f>
        <v>37819.360000000001</v>
      </c>
      <c r="I63" s="15"/>
      <c r="J63" s="15">
        <f>'BOS G3 NEMA'!K24</f>
        <v>40817.979999999996</v>
      </c>
      <c r="K63" s="17">
        <f t="shared" si="1"/>
        <v>2998.6199999999953</v>
      </c>
      <c r="L63" s="18">
        <f t="shared" si="2"/>
        <v>7.9287962567319889E-2</v>
      </c>
      <c r="M63" s="19"/>
      <c r="N63" s="15">
        <f>'BOS G3 NEMA'!R24</f>
        <v>41295.880000000005</v>
      </c>
      <c r="O63" s="17">
        <f t="shared" si="7"/>
        <v>477.90000000000873</v>
      </c>
      <c r="P63" s="18">
        <f t="shared" si="8"/>
        <v>1.1708075705853371E-2</v>
      </c>
      <c r="Q63" s="19"/>
      <c r="R63" s="15">
        <f>'BOS G3 NEMA'!Y24</f>
        <v>41263.479999999996</v>
      </c>
      <c r="S63" s="17">
        <f t="shared" si="3"/>
        <v>-32.400000000008731</v>
      </c>
      <c r="T63" s="18">
        <f t="shared" si="4"/>
        <v>-7.8458190018008403E-4</v>
      </c>
      <c r="V63" s="17">
        <f t="shared" si="5"/>
        <v>3444.1199999999953</v>
      </c>
      <c r="W63" s="20">
        <f t="shared" si="6"/>
        <v>9.1067643661870409E-2</v>
      </c>
      <c r="Y63" s="17"/>
    </row>
    <row r="64" spans="1:25" x14ac:dyDescent="0.3">
      <c r="A64" s="1">
        <f t="shared" si="0"/>
        <v>64</v>
      </c>
      <c r="B64" s="2" t="s">
        <v>15</v>
      </c>
      <c r="C64" s="2" t="s">
        <v>21</v>
      </c>
      <c r="D64" s="2" t="s">
        <v>29</v>
      </c>
      <c r="E64" s="14">
        <f>+'BOS G3 NEMA'!C36</f>
        <v>828</v>
      </c>
      <c r="F64" s="14">
        <f>+'BOS G3 NEMA'!D36</f>
        <v>368460</v>
      </c>
      <c r="H64" s="15">
        <f>'BOS G3 NEMA'!G36</f>
        <v>70782.78</v>
      </c>
      <c r="I64" s="15"/>
      <c r="J64" s="15">
        <f>'BOS G3 NEMA'!K36</f>
        <v>77602.98</v>
      </c>
      <c r="K64" s="17">
        <f t="shared" si="1"/>
        <v>6820.1999999999971</v>
      </c>
      <c r="L64" s="18">
        <f t="shared" si="2"/>
        <v>9.6353943713428564E-2</v>
      </c>
      <c r="M64" s="19"/>
      <c r="N64" s="15">
        <f>'BOS G3 NEMA'!R36</f>
        <v>78689.94</v>
      </c>
      <c r="O64" s="17">
        <f t="shared" si="7"/>
        <v>1086.9600000000064</v>
      </c>
      <c r="P64" s="18">
        <f t="shared" si="8"/>
        <v>1.4006678609507089E-2</v>
      </c>
      <c r="Q64" s="19"/>
      <c r="R64" s="15">
        <f>'BOS G3 NEMA'!Y36</f>
        <v>78616.239999999991</v>
      </c>
      <c r="S64" s="17">
        <f t="shared" si="3"/>
        <v>-73.700000000011642</v>
      </c>
      <c r="T64" s="18">
        <f t="shared" si="4"/>
        <v>-9.3658731980239963E-4</v>
      </c>
      <c r="V64" s="17">
        <f t="shared" si="5"/>
        <v>7833.4599999999919</v>
      </c>
      <c r="W64" s="20">
        <f t="shared" si="6"/>
        <v>0.11066900734896244</v>
      </c>
      <c r="Y64" s="17"/>
    </row>
    <row r="65" spans="1:25" x14ac:dyDescent="0.3">
      <c r="A65" s="1">
        <f t="shared" si="0"/>
        <v>65</v>
      </c>
      <c r="B65" s="2" t="s">
        <v>15</v>
      </c>
      <c r="C65" s="2" t="s">
        <v>21</v>
      </c>
      <c r="D65" s="2" t="s">
        <v>29</v>
      </c>
      <c r="E65" s="14">
        <f>+'BOS G3 NEMA'!C48</f>
        <v>1356</v>
      </c>
      <c r="F65" s="14">
        <f>+'BOS G3 NEMA'!D48</f>
        <v>786480</v>
      </c>
      <c r="H65" s="15">
        <f>'BOS G3 NEMA'!G48</f>
        <v>139349.70000000001</v>
      </c>
      <c r="I65" s="15"/>
      <c r="J65" s="15">
        <f>'BOS G3 NEMA'!K48</f>
        <v>153907.44</v>
      </c>
      <c r="K65" s="17">
        <f t="shared" si="1"/>
        <v>14557.739999999991</v>
      </c>
      <c r="L65" s="18">
        <f t="shared" si="2"/>
        <v>0.10446911618754823</v>
      </c>
      <c r="M65" s="19"/>
      <c r="N65" s="15">
        <f>'BOS G3 NEMA'!R48</f>
        <v>156227.56</v>
      </c>
      <c r="O65" s="17">
        <f t="shared" si="7"/>
        <v>2320.1199999999953</v>
      </c>
      <c r="P65" s="18">
        <f t="shared" si="8"/>
        <v>1.5074774812705581E-2</v>
      </c>
      <c r="Q65" s="19"/>
      <c r="R65" s="15">
        <f>'BOS G3 NEMA'!Y48</f>
        <v>156070.26</v>
      </c>
      <c r="S65" s="17">
        <f t="shared" si="3"/>
        <v>-157.29999999998836</v>
      </c>
      <c r="T65" s="18">
        <f t="shared" si="4"/>
        <v>-1.0068646018665873E-3</v>
      </c>
      <c r="V65" s="17">
        <f t="shared" si="5"/>
        <v>16720.559999999998</v>
      </c>
      <c r="W65" s="20">
        <f t="shared" si="6"/>
        <v>0.11998992462847065</v>
      </c>
      <c r="Y65" s="17"/>
    </row>
    <row r="66" spans="1:25" x14ac:dyDescent="0.3">
      <c r="A66" s="1">
        <f t="shared" si="0"/>
        <v>66</v>
      </c>
      <c r="H66" s="15"/>
      <c r="I66" s="15"/>
      <c r="J66" s="16"/>
      <c r="K66" s="17"/>
      <c r="L66" s="18"/>
      <c r="M66" s="19"/>
      <c r="N66" s="16"/>
      <c r="O66" s="17"/>
      <c r="P66" s="18"/>
      <c r="Q66" s="19"/>
      <c r="R66" s="16"/>
      <c r="S66" s="17"/>
      <c r="T66" s="18"/>
      <c r="V66" s="17"/>
      <c r="W66" s="20"/>
      <c r="Y66" s="17"/>
    </row>
    <row r="67" spans="1:25" x14ac:dyDescent="0.3">
      <c r="A67" s="1">
        <f t="shared" ref="A67:A106" si="9">A66+1</f>
        <v>67</v>
      </c>
      <c r="B67" s="2" t="s">
        <v>15</v>
      </c>
      <c r="C67" s="2" t="s">
        <v>21</v>
      </c>
      <c r="D67" s="2" t="s">
        <v>30</v>
      </c>
      <c r="E67" s="14">
        <f>+'BOS G3 SEMA'!C24</f>
        <v>600</v>
      </c>
      <c r="F67" s="14">
        <f>+'BOS G3 SEMA'!D24</f>
        <v>162000</v>
      </c>
      <c r="H67" s="15">
        <f>'BOS G3 SEMA'!G24</f>
        <v>40155.4</v>
      </c>
      <c r="I67" s="15"/>
      <c r="J67" s="15">
        <f>'BOS G3 SEMA'!K24</f>
        <v>43154.020000000004</v>
      </c>
      <c r="K67" s="17">
        <f t="shared" si="1"/>
        <v>2998.6200000000026</v>
      </c>
      <c r="L67" s="18">
        <f t="shared" si="2"/>
        <v>7.4675386124904805E-2</v>
      </c>
      <c r="M67" s="19"/>
      <c r="N67" s="15">
        <f>'BOS G3 SEMA'!R24</f>
        <v>43631.92</v>
      </c>
      <c r="O67" s="17">
        <f t="shared" si="7"/>
        <v>477.89999999999418</v>
      </c>
      <c r="P67" s="18">
        <f t="shared" si="8"/>
        <v>1.1074286937810061E-2</v>
      </c>
      <c r="Q67" s="19"/>
      <c r="R67" s="15">
        <f>'BOS G3 SEMA'!Y24</f>
        <v>43599.520000000004</v>
      </c>
      <c r="S67" s="17">
        <f t="shared" si="3"/>
        <v>-32.399999999994179</v>
      </c>
      <c r="T67" s="18">
        <f t="shared" si="4"/>
        <v>-7.4257561895039645E-4</v>
      </c>
      <c r="V67" s="17">
        <f t="shared" si="5"/>
        <v>3444.1200000000026</v>
      </c>
      <c r="W67" s="20">
        <f t="shared" si="6"/>
        <v>8.5769784387654022E-2</v>
      </c>
      <c r="Y67" s="17"/>
    </row>
    <row r="68" spans="1:25" x14ac:dyDescent="0.3">
      <c r="A68" s="1">
        <f t="shared" si="9"/>
        <v>68</v>
      </c>
      <c r="B68" s="2" t="s">
        <v>15</v>
      </c>
      <c r="C68" s="2" t="s">
        <v>21</v>
      </c>
      <c r="D68" s="2" t="s">
        <v>30</v>
      </c>
      <c r="E68" s="14">
        <f>+'BOS G3 SEMA'!C36</f>
        <v>828</v>
      </c>
      <c r="F68" s="14">
        <f>+'BOS G3 SEMA'!D36</f>
        <v>368460</v>
      </c>
      <c r="H68" s="15">
        <f>'BOS G3 SEMA'!G36</f>
        <v>76095.98000000001</v>
      </c>
      <c r="I68" s="15"/>
      <c r="J68" s="15">
        <f>'BOS G3 SEMA'!K36</f>
        <v>82916.179999999993</v>
      </c>
      <c r="K68" s="17">
        <f t="shared" si="1"/>
        <v>6820.1999999999825</v>
      </c>
      <c r="L68" s="18">
        <f t="shared" si="2"/>
        <v>8.9626285120448956E-2</v>
      </c>
      <c r="M68" s="19"/>
      <c r="N68" s="15">
        <f>'BOS G3 SEMA'!R36</f>
        <v>84003.14</v>
      </c>
      <c r="O68" s="17">
        <f t="shared" si="7"/>
        <v>1086.9600000000064</v>
      </c>
      <c r="P68" s="18">
        <f t="shared" si="8"/>
        <v>1.31091422687346E-2</v>
      </c>
      <c r="Q68" s="19"/>
      <c r="R68" s="15">
        <f>'BOS G3 SEMA'!Y36</f>
        <v>83929.44</v>
      </c>
      <c r="S68" s="17">
        <f t="shared" si="3"/>
        <v>-73.69999999999709</v>
      </c>
      <c r="T68" s="18">
        <f t="shared" si="4"/>
        <v>-8.7734815627126667E-4</v>
      </c>
      <c r="V68" s="17">
        <f t="shared" si="5"/>
        <v>7833.4599999999919</v>
      </c>
      <c r="W68" s="20">
        <f t="shared" si="6"/>
        <v>0.10294183740060896</v>
      </c>
      <c r="Y68" s="17"/>
    </row>
    <row r="69" spans="1:25" x14ac:dyDescent="0.3">
      <c r="A69" s="1">
        <f t="shared" si="9"/>
        <v>69</v>
      </c>
      <c r="B69" s="2" t="s">
        <v>15</v>
      </c>
      <c r="C69" s="2" t="s">
        <v>21</v>
      </c>
      <c r="D69" s="2" t="s">
        <v>30</v>
      </c>
      <c r="E69" s="14">
        <f>+'BOS G3 SEMA'!C48</f>
        <v>1356</v>
      </c>
      <c r="F69" s="14">
        <f>+'BOS G3 SEMA'!D48</f>
        <v>786480</v>
      </c>
      <c r="H69" s="15">
        <f>'BOS G3 SEMA'!G48</f>
        <v>150690.74</v>
      </c>
      <c r="I69" s="15"/>
      <c r="J69" s="15">
        <f>'BOS G3 SEMA'!K48</f>
        <v>165248.47999999998</v>
      </c>
      <c r="K69" s="17">
        <f t="shared" si="1"/>
        <v>14557.739999999991</v>
      </c>
      <c r="L69" s="18">
        <f t="shared" si="2"/>
        <v>9.6606732437573742E-2</v>
      </c>
      <c r="M69" s="19"/>
      <c r="N69" s="15">
        <f>'BOS G3 SEMA'!R48</f>
        <v>167568.6</v>
      </c>
      <c r="O69" s="17">
        <f t="shared" si="7"/>
        <v>2320.1200000000244</v>
      </c>
      <c r="P69" s="18">
        <f t="shared" si="8"/>
        <v>1.4040189658628174E-2</v>
      </c>
      <c r="Q69" s="19"/>
      <c r="R69" s="15">
        <f>'BOS G3 SEMA'!Y48</f>
        <v>167411.29999999999</v>
      </c>
      <c r="S69" s="17">
        <f t="shared" si="3"/>
        <v>-157.30000000001746</v>
      </c>
      <c r="T69" s="18">
        <f t="shared" si="4"/>
        <v>-9.3872002272512548E-4</v>
      </c>
      <c r="V69" s="17">
        <f t="shared" si="5"/>
        <v>16720.559999999998</v>
      </c>
      <c r="W69" s="20">
        <f t="shared" si="6"/>
        <v>0.11095943917987262</v>
      </c>
      <c r="Y69" s="17"/>
    </row>
    <row r="70" spans="1:25" x14ac:dyDescent="0.3">
      <c r="A70" s="1">
        <f t="shared" si="9"/>
        <v>70</v>
      </c>
      <c r="H70" s="15"/>
      <c r="I70" s="15"/>
      <c r="J70" s="16"/>
      <c r="K70" s="17"/>
      <c r="L70" s="18"/>
      <c r="M70" s="19"/>
      <c r="N70" s="16"/>
      <c r="O70" s="17"/>
      <c r="P70" s="18"/>
      <c r="Q70" s="19"/>
      <c r="R70" s="16"/>
      <c r="S70" s="17"/>
      <c r="T70" s="18"/>
      <c r="V70" s="17"/>
      <c r="W70" s="20"/>
      <c r="Y70" s="17"/>
    </row>
    <row r="71" spans="1:25" x14ac:dyDescent="0.3">
      <c r="A71" s="1">
        <f t="shared" si="9"/>
        <v>71</v>
      </c>
      <c r="B71" s="2" t="s">
        <v>15</v>
      </c>
      <c r="C71" s="2" t="s">
        <v>23</v>
      </c>
      <c r="D71" s="2" t="s">
        <v>31</v>
      </c>
      <c r="E71" s="14">
        <f>+'CAMB G3'!C20</f>
        <v>859</v>
      </c>
      <c r="F71" s="14">
        <f>+'CAMB G3'!D20</f>
        <v>249110</v>
      </c>
      <c r="H71" s="15">
        <f>'CAMB G3'!G20</f>
        <v>54420.84</v>
      </c>
      <c r="I71" s="15"/>
      <c r="J71" s="15">
        <f>'CAMB G3'!K20</f>
        <v>59031.869999999995</v>
      </c>
      <c r="K71" s="17">
        <f t="shared" si="1"/>
        <v>4611.0299999999988</v>
      </c>
      <c r="L71" s="18">
        <f t="shared" si="2"/>
        <v>8.4729122152469513E-2</v>
      </c>
      <c r="M71" s="19"/>
      <c r="N71" s="15">
        <f>'CAMB G3'!R20</f>
        <v>59766.74</v>
      </c>
      <c r="O71" s="17">
        <f t="shared" si="7"/>
        <v>734.87000000000262</v>
      </c>
      <c r="P71" s="18">
        <f t="shared" si="8"/>
        <v>1.2448699321231103E-2</v>
      </c>
      <c r="Q71" s="19"/>
      <c r="R71" s="15">
        <f>'CAMB G3'!Y20</f>
        <v>59716.92</v>
      </c>
      <c r="S71" s="17">
        <f t="shared" si="3"/>
        <v>-49.819999999999709</v>
      </c>
      <c r="T71" s="18">
        <f t="shared" si="4"/>
        <v>-8.3357399115293403E-4</v>
      </c>
      <c r="V71" s="17">
        <f t="shared" si="5"/>
        <v>5296.0800000000017</v>
      </c>
      <c r="W71" s="20">
        <f t="shared" si="6"/>
        <v>9.7317130716835717E-2</v>
      </c>
      <c r="Y71" s="17"/>
    </row>
    <row r="72" spans="1:25" x14ac:dyDescent="0.3">
      <c r="A72" s="1">
        <f t="shared" si="9"/>
        <v>72</v>
      </c>
      <c r="B72" s="2" t="s">
        <v>15</v>
      </c>
      <c r="C72" s="2" t="s">
        <v>23</v>
      </c>
      <c r="D72" s="2" t="s">
        <v>31</v>
      </c>
      <c r="E72" s="14">
        <f>+'CAMB G3'!C29</f>
        <v>1085</v>
      </c>
      <c r="F72" s="14">
        <f>+'CAMB G3'!D29</f>
        <v>471975</v>
      </c>
      <c r="H72" s="15">
        <f>'CAMB G3'!G29</f>
        <v>89489.39</v>
      </c>
      <c r="I72" s="15"/>
      <c r="J72" s="15">
        <f>'CAMB G3'!K29</f>
        <v>98225.64</v>
      </c>
      <c r="K72" s="17">
        <f t="shared" si="1"/>
        <v>8736.25</v>
      </c>
      <c r="L72" s="18">
        <f t="shared" si="2"/>
        <v>9.7623304840942601E-2</v>
      </c>
      <c r="M72" s="19"/>
      <c r="N72" s="15">
        <f>'CAMB G3'!R29</f>
        <v>99617.97</v>
      </c>
      <c r="O72" s="17">
        <f t="shared" si="7"/>
        <v>1392.3300000000017</v>
      </c>
      <c r="P72" s="18">
        <f t="shared" si="8"/>
        <v>1.4174812197711328E-2</v>
      </c>
      <c r="Q72" s="19"/>
      <c r="R72" s="15">
        <f>'CAMB G3'!Y29</f>
        <v>99523.58</v>
      </c>
      <c r="S72" s="17">
        <f t="shared" si="3"/>
        <v>-94.389999999999418</v>
      </c>
      <c r="T72" s="18">
        <f t="shared" si="4"/>
        <v>-9.4751980992986923E-4</v>
      </c>
      <c r="V72" s="17">
        <f t="shared" si="5"/>
        <v>10034.190000000002</v>
      </c>
      <c r="W72" s="20">
        <f t="shared" si="6"/>
        <v>0.11212714714001294</v>
      </c>
      <c r="Y72" s="17"/>
    </row>
    <row r="73" spans="1:25" x14ac:dyDescent="0.3">
      <c r="A73" s="1">
        <f t="shared" si="9"/>
        <v>73</v>
      </c>
      <c r="B73" s="2" t="s">
        <v>15</v>
      </c>
      <c r="C73" s="2" t="s">
        <v>23</v>
      </c>
      <c r="D73" s="2" t="s">
        <v>31</v>
      </c>
      <c r="E73" s="14">
        <f>+'CAMB G3'!C38</f>
        <v>880</v>
      </c>
      <c r="F73" s="14">
        <f>+'CAMB G3'!D38</f>
        <v>506000</v>
      </c>
      <c r="H73" s="15">
        <f>'CAMB G3'!G38</f>
        <v>88486.91</v>
      </c>
      <c r="I73" s="15"/>
      <c r="J73" s="15">
        <f>'CAMB G3'!K38</f>
        <v>97852.97</v>
      </c>
      <c r="K73" s="17">
        <f t="shared" si="1"/>
        <v>9366.0599999999977</v>
      </c>
      <c r="L73" s="18">
        <f t="shared" si="2"/>
        <v>0.10584684220524818</v>
      </c>
      <c r="M73" s="19"/>
      <c r="N73" s="15">
        <f>'CAMB G3'!R38</f>
        <v>99345.67</v>
      </c>
      <c r="O73" s="17">
        <f t="shared" si="7"/>
        <v>1492.6999999999971</v>
      </c>
      <c r="P73" s="18">
        <f t="shared" si="8"/>
        <v>1.5254519101464137E-2</v>
      </c>
      <c r="Q73" s="19"/>
      <c r="R73" s="15">
        <f>'CAMB G3'!Y38</f>
        <v>99244.47</v>
      </c>
      <c r="S73" s="17">
        <f t="shared" si="3"/>
        <v>-101.19999999999709</v>
      </c>
      <c r="T73" s="18">
        <f t="shared" si="4"/>
        <v>-1.0186654335311955E-3</v>
      </c>
      <c r="V73" s="17">
        <f t="shared" si="5"/>
        <v>10757.559999999998</v>
      </c>
      <c r="W73" s="20">
        <f t="shared" si="6"/>
        <v>0.12157233199803222</v>
      </c>
      <c r="Y73" s="17"/>
    </row>
    <row r="74" spans="1:25" x14ac:dyDescent="0.3">
      <c r="A74" s="1">
        <f t="shared" si="9"/>
        <v>74</v>
      </c>
      <c r="H74" s="15"/>
      <c r="I74" s="15"/>
      <c r="J74" s="16"/>
      <c r="K74" s="17"/>
      <c r="L74" s="18"/>
      <c r="M74" s="19"/>
      <c r="N74" s="16"/>
      <c r="O74" s="17"/>
      <c r="P74" s="18"/>
      <c r="Q74" s="19"/>
      <c r="R74" s="16"/>
      <c r="S74" s="17"/>
      <c r="T74" s="18"/>
      <c r="V74" s="17"/>
      <c r="W74" s="20"/>
      <c r="Y74" s="17"/>
    </row>
    <row r="75" spans="1:25" x14ac:dyDescent="0.3">
      <c r="A75" s="1">
        <f t="shared" si="9"/>
        <v>75</v>
      </c>
      <c r="B75" s="2" t="s">
        <v>15</v>
      </c>
      <c r="C75" s="2" t="s">
        <v>24</v>
      </c>
      <c r="D75" s="2" t="s">
        <v>31</v>
      </c>
      <c r="E75" s="14">
        <f>+'SOUTH G3'!C20</f>
        <v>920</v>
      </c>
      <c r="F75" s="14">
        <f>+'SOUTH G3'!D20</f>
        <v>230000</v>
      </c>
      <c r="H75" s="15">
        <f>'SOUTH G3'!G20</f>
        <v>51359.8</v>
      </c>
      <c r="I75" s="15"/>
      <c r="J75" s="15">
        <f>'SOUTH G3'!K20</f>
        <v>55617.1</v>
      </c>
      <c r="K75" s="17">
        <f t="shared" si="1"/>
        <v>4257.2999999999956</v>
      </c>
      <c r="L75" s="18">
        <f t="shared" si="2"/>
        <v>8.2891677927094648E-2</v>
      </c>
      <c r="M75" s="19"/>
      <c r="N75" s="15">
        <f>'SOUTH G3'!R20</f>
        <v>56295.6</v>
      </c>
      <c r="O75" s="17">
        <f t="shared" si="7"/>
        <v>678.5</v>
      </c>
      <c r="P75" s="18">
        <f t="shared" si="8"/>
        <v>1.2199485410062733E-2</v>
      </c>
      <c r="Q75" s="19"/>
      <c r="R75" s="15">
        <f>'SOUTH G3'!Y20</f>
        <v>56249.599999999999</v>
      </c>
      <c r="S75" s="17">
        <f t="shared" si="3"/>
        <v>-46</v>
      </c>
      <c r="T75" s="18">
        <f t="shared" si="4"/>
        <v>-8.171153695848344E-4</v>
      </c>
      <c r="V75" s="17">
        <f t="shared" si="5"/>
        <v>4889.7999999999956</v>
      </c>
      <c r="W75" s="20">
        <f t="shared" si="6"/>
        <v>9.5206757035658146E-2</v>
      </c>
      <c r="Y75" s="17"/>
    </row>
    <row r="76" spans="1:25" x14ac:dyDescent="0.3">
      <c r="A76" s="1">
        <f t="shared" si="9"/>
        <v>76</v>
      </c>
      <c r="B76" s="2" t="s">
        <v>15</v>
      </c>
      <c r="C76" s="2" t="s">
        <v>24</v>
      </c>
      <c r="D76" s="2" t="s">
        <v>31</v>
      </c>
      <c r="E76" s="14">
        <f>+'SOUTH G3'!C28</f>
        <v>933</v>
      </c>
      <c r="F76" s="14">
        <f>+'SOUTH G3'!D28</f>
        <v>373200</v>
      </c>
      <c r="H76" s="15">
        <f>'SOUTH G3'!G28</f>
        <v>73504.34</v>
      </c>
      <c r="I76" s="15"/>
      <c r="J76" s="15">
        <f>'SOUTH G3'!K28</f>
        <v>80412.26999999999</v>
      </c>
      <c r="K76" s="17">
        <f t="shared" si="1"/>
        <v>6907.929999999993</v>
      </c>
      <c r="L76" s="18">
        <f t="shared" si="2"/>
        <v>9.3979892887957273E-2</v>
      </c>
      <c r="M76" s="19"/>
      <c r="N76" s="15">
        <f>'SOUTH G3'!R28</f>
        <v>81513.209999999992</v>
      </c>
      <c r="O76" s="17">
        <f t="shared" si="7"/>
        <v>1100.9400000000023</v>
      </c>
      <c r="P76" s="18">
        <f t="shared" si="8"/>
        <v>1.3691194142386509E-2</v>
      </c>
      <c r="Q76" s="19"/>
      <c r="R76" s="15">
        <f>'SOUTH G3'!Y28</f>
        <v>81438.570000000007</v>
      </c>
      <c r="S76" s="17">
        <f t="shared" si="3"/>
        <v>-74.639999999984866</v>
      </c>
      <c r="T76" s="18">
        <f t="shared" si="4"/>
        <v>-9.1567980208342764E-4</v>
      </c>
      <c r="V76" s="17">
        <f t="shared" si="5"/>
        <v>7934.2300000000105</v>
      </c>
      <c r="W76" s="20">
        <f t="shared" si="6"/>
        <v>0.10794233374519124</v>
      </c>
      <c r="Y76" s="17"/>
    </row>
    <row r="77" spans="1:25" x14ac:dyDescent="0.3">
      <c r="A77" s="1">
        <f t="shared" si="9"/>
        <v>77</v>
      </c>
      <c r="B77" s="2" t="s">
        <v>15</v>
      </c>
      <c r="C77" s="2" t="s">
        <v>24</v>
      </c>
      <c r="D77" s="2" t="s">
        <v>31</v>
      </c>
      <c r="E77" s="14">
        <f>+'SOUTH G3'!C36</f>
        <v>930</v>
      </c>
      <c r="F77" s="14">
        <f>+'SOUTH G3'!D36</f>
        <v>497550</v>
      </c>
      <c r="H77" s="15">
        <f>'SOUTH G3'!G36</f>
        <v>92497.71</v>
      </c>
      <c r="I77" s="15"/>
      <c r="J77" s="15">
        <f>'SOUTH G3'!K36</f>
        <v>101707.36000000002</v>
      </c>
      <c r="K77" s="17">
        <f t="shared" ref="K77:K106" si="10">+J77-H77</f>
        <v>9209.6500000000087</v>
      </c>
      <c r="L77" s="18">
        <f t="shared" ref="L77:L106" si="11">+K77/H77</f>
        <v>9.956624872118465E-2</v>
      </c>
      <c r="M77" s="19"/>
      <c r="N77" s="15">
        <f>'SOUTH G3'!R36</f>
        <v>103175.13</v>
      </c>
      <c r="O77" s="17">
        <f t="shared" si="7"/>
        <v>1467.7699999999895</v>
      </c>
      <c r="P77" s="18">
        <f t="shared" si="8"/>
        <v>1.4431305659688634E-2</v>
      </c>
      <c r="Q77" s="19"/>
      <c r="R77" s="15">
        <f>'SOUTH G3'!Y36</f>
        <v>103075.62</v>
      </c>
      <c r="S77" s="17">
        <f t="shared" ref="S77:S106" si="12">+R77-N77</f>
        <v>-99.510000000009313</v>
      </c>
      <c r="T77" s="18">
        <f t="shared" ref="T77:T106" si="13">+S77/N77</f>
        <v>-9.6447661369565812E-4</v>
      </c>
      <c r="V77" s="17">
        <f t="shared" ref="V77:V106" si="14">+R77-H77</f>
        <v>10577.909999999989</v>
      </c>
      <c r="W77" s="20">
        <f t="shared" ref="W77:W106" si="15">+V77/H77</f>
        <v>0.11435861493219657</v>
      </c>
      <c r="Y77" s="17"/>
    </row>
    <row r="78" spans="1:25" x14ac:dyDescent="0.3">
      <c r="A78" s="1">
        <f t="shared" si="9"/>
        <v>78</v>
      </c>
      <c r="H78" s="15"/>
      <c r="I78" s="15"/>
      <c r="J78" s="16"/>
      <c r="K78" s="17"/>
      <c r="L78" s="18"/>
      <c r="M78" s="19"/>
      <c r="N78" s="16"/>
      <c r="O78" s="17"/>
      <c r="P78" s="18"/>
      <c r="Q78" s="19"/>
      <c r="R78" s="16"/>
      <c r="S78" s="17"/>
      <c r="T78" s="18"/>
      <c r="V78" s="17"/>
      <c r="W78" s="20"/>
      <c r="Y78" s="17"/>
    </row>
    <row r="79" spans="1:25" x14ac:dyDescent="0.3">
      <c r="A79" s="1">
        <f t="shared" si="9"/>
        <v>79</v>
      </c>
      <c r="B79" s="13" t="s">
        <v>17</v>
      </c>
      <c r="C79" s="13" t="s">
        <v>17</v>
      </c>
      <c r="D79" s="2" t="s">
        <v>31</v>
      </c>
      <c r="E79" s="14">
        <f>+'WMA G3'!C20</f>
        <v>420</v>
      </c>
      <c r="F79" s="14">
        <f>+'WMA G3'!D20</f>
        <v>107100</v>
      </c>
      <c r="H79" s="15">
        <f>'WMA G3'!G20</f>
        <v>22360.192999999999</v>
      </c>
      <c r="I79" s="15"/>
      <c r="J79" s="15">
        <f>'WMA G3'!K20</f>
        <v>24342.612999999998</v>
      </c>
      <c r="K79" s="17">
        <f t="shared" si="10"/>
        <v>1982.4199999999983</v>
      </c>
      <c r="L79" s="18">
        <f t="shared" si="11"/>
        <v>8.8658447626100464E-2</v>
      </c>
      <c r="M79" s="19"/>
      <c r="N79" s="15">
        <f>'WMA G3'!R20</f>
        <v>24658.563000000002</v>
      </c>
      <c r="O79" s="17">
        <f t="shared" ref="O79:O106" si="16">+N79-J79</f>
        <v>315.95000000000437</v>
      </c>
      <c r="P79" s="18">
        <f t="shared" ref="P79:P106" si="17">+O79/J79</f>
        <v>1.2979296840483164E-2</v>
      </c>
      <c r="Q79" s="19"/>
      <c r="R79" s="15">
        <f>'WMA G3'!Y20</f>
        <v>24637.143</v>
      </c>
      <c r="S79" s="17">
        <f t="shared" si="12"/>
        <v>-21.420000000001892</v>
      </c>
      <c r="T79" s="18">
        <f t="shared" si="13"/>
        <v>-8.6866375790032408E-4</v>
      </c>
      <c r="V79" s="17">
        <f t="shared" si="14"/>
        <v>2276.9500000000007</v>
      </c>
      <c r="W79" s="20">
        <f t="shared" si="15"/>
        <v>0.10183051640028334</v>
      </c>
      <c r="Y79" s="17"/>
    </row>
    <row r="80" spans="1:25" x14ac:dyDescent="0.3">
      <c r="A80" s="1">
        <f t="shared" si="9"/>
        <v>80</v>
      </c>
      <c r="B80" s="13" t="s">
        <v>17</v>
      </c>
      <c r="C80" s="13" t="s">
        <v>17</v>
      </c>
      <c r="D80" s="2" t="s">
        <v>31</v>
      </c>
      <c r="E80" s="14">
        <f>+'WMA G3'!C29</f>
        <v>525</v>
      </c>
      <c r="F80" s="14">
        <f>+'WMA G3'!D29</f>
        <v>225750</v>
      </c>
      <c r="H80" s="15">
        <f>'WMA G3'!G29</f>
        <v>38230.042500000003</v>
      </c>
      <c r="I80" s="15"/>
      <c r="J80" s="15">
        <f>'WMA G3'!K29</f>
        <v>42408.672500000001</v>
      </c>
      <c r="K80" s="17">
        <f t="shared" si="10"/>
        <v>4178.6299999999974</v>
      </c>
      <c r="L80" s="18">
        <f t="shared" si="11"/>
        <v>0.10930225881909487</v>
      </c>
      <c r="M80" s="19"/>
      <c r="N80" s="15">
        <f>'WMA G3'!R29</f>
        <v>43074.642500000002</v>
      </c>
      <c r="O80" s="17">
        <f t="shared" si="16"/>
        <v>665.97000000000116</v>
      </c>
      <c r="P80" s="18">
        <f t="shared" si="17"/>
        <v>1.5703627601170517E-2</v>
      </c>
      <c r="Q80" s="19"/>
      <c r="R80" s="15">
        <f>'WMA G3'!Y29</f>
        <v>43029.4925</v>
      </c>
      <c r="S80" s="17">
        <f t="shared" si="12"/>
        <v>-45.150000000001455</v>
      </c>
      <c r="T80" s="18">
        <f t="shared" si="13"/>
        <v>-1.048180492734245E-3</v>
      </c>
      <c r="V80" s="17">
        <f t="shared" si="14"/>
        <v>4799.4499999999971</v>
      </c>
      <c r="W80" s="20">
        <f t="shared" si="15"/>
        <v>0.12554132002338206</v>
      </c>
      <c r="Y80" s="17"/>
    </row>
    <row r="81" spans="1:25" x14ac:dyDescent="0.3">
      <c r="A81" s="1">
        <f t="shared" si="9"/>
        <v>81</v>
      </c>
      <c r="B81" s="13" t="s">
        <v>17</v>
      </c>
      <c r="C81" s="13" t="s">
        <v>17</v>
      </c>
      <c r="D81" s="2" t="s">
        <v>31</v>
      </c>
      <c r="E81" s="14">
        <f>+'WMA G3'!C38</f>
        <v>530</v>
      </c>
      <c r="F81" s="14">
        <f>+'WMA G3'!D38</f>
        <v>294150</v>
      </c>
      <c r="H81" s="15">
        <f>'WMA G3'!G38</f>
        <v>46136.554499999998</v>
      </c>
      <c r="I81" s="15"/>
      <c r="J81" s="15">
        <f>'WMA G3'!K38</f>
        <v>51581.264500000005</v>
      </c>
      <c r="K81" s="17">
        <f t="shared" si="10"/>
        <v>5444.7100000000064</v>
      </c>
      <c r="L81" s="18">
        <f t="shared" si="11"/>
        <v>0.11801293050611325</v>
      </c>
      <c r="M81" s="19"/>
      <c r="N81" s="15">
        <f>'WMA G3'!R38</f>
        <v>52449.014500000005</v>
      </c>
      <c r="O81" s="17">
        <f t="shared" si="16"/>
        <v>867.75</v>
      </c>
      <c r="P81" s="18">
        <f t="shared" si="17"/>
        <v>1.6822968735091787E-2</v>
      </c>
      <c r="Q81" s="19"/>
      <c r="R81" s="15">
        <f>'WMA G3'!Y38</f>
        <v>52390.184500000003</v>
      </c>
      <c r="S81" s="17">
        <f t="shared" si="12"/>
        <v>-58.830000000001746</v>
      </c>
      <c r="T81" s="18">
        <f t="shared" si="13"/>
        <v>-1.1216607320620245E-3</v>
      </c>
      <c r="V81" s="17">
        <f t="shared" si="14"/>
        <v>6253.6300000000047</v>
      </c>
      <c r="W81" s="20">
        <f t="shared" si="15"/>
        <v>0.13554609935165413</v>
      </c>
      <c r="Y81" s="17"/>
    </row>
    <row r="82" spans="1:25" x14ac:dyDescent="0.3">
      <c r="A82" s="1">
        <f t="shared" si="9"/>
        <v>82</v>
      </c>
      <c r="H82" s="15"/>
      <c r="I82" s="15"/>
      <c r="J82" s="16"/>
      <c r="K82" s="17"/>
      <c r="L82" s="18"/>
      <c r="M82" s="19"/>
      <c r="N82" s="16"/>
      <c r="O82" s="17"/>
      <c r="P82" s="18"/>
      <c r="Q82" s="19"/>
      <c r="R82" s="16"/>
      <c r="S82" s="17"/>
      <c r="T82" s="18"/>
      <c r="V82" s="17"/>
      <c r="W82" s="20"/>
      <c r="Y82" s="17"/>
    </row>
    <row r="83" spans="1:25" x14ac:dyDescent="0.3">
      <c r="A83" s="1">
        <f t="shared" si="9"/>
        <v>83</v>
      </c>
      <c r="B83" s="2" t="s">
        <v>15</v>
      </c>
      <c r="C83" s="2" t="s">
        <v>24</v>
      </c>
      <c r="D83" s="2" t="s">
        <v>32</v>
      </c>
      <c r="E83" s="14">
        <f>+'SOUTH G4'!C20</f>
        <v>50</v>
      </c>
      <c r="F83" s="14">
        <f>+'SOUTH G4'!D20</f>
        <v>5000</v>
      </c>
      <c r="H83" s="15">
        <f>'SOUTH G4'!G20</f>
        <v>1481.0500000000002</v>
      </c>
      <c r="I83" s="15"/>
      <c r="J83" s="15">
        <f>'SOUTH G4'!K20</f>
        <v>1573.6</v>
      </c>
      <c r="K83" s="17">
        <f t="shared" si="10"/>
        <v>92.549999999999727</v>
      </c>
      <c r="L83" s="18">
        <f t="shared" si="11"/>
        <v>6.2489450052327547E-2</v>
      </c>
      <c r="M83" s="19"/>
      <c r="N83" s="15">
        <f>'SOUTH G4'!R20</f>
        <v>1588.35</v>
      </c>
      <c r="O83" s="17">
        <f t="shared" si="16"/>
        <v>14.75</v>
      </c>
      <c r="P83" s="18">
        <f t="shared" si="17"/>
        <v>9.3734112862226739E-3</v>
      </c>
      <c r="Q83" s="19"/>
      <c r="R83" s="15">
        <f>'SOUTH G4'!Y20</f>
        <v>1587.35</v>
      </c>
      <c r="S83" s="17">
        <f t="shared" si="12"/>
        <v>-1</v>
      </c>
      <c r="T83" s="18">
        <f t="shared" si="13"/>
        <v>-6.2958415966254293E-4</v>
      </c>
      <c r="V83" s="17">
        <f t="shared" si="14"/>
        <v>106.29999999999973</v>
      </c>
      <c r="W83" s="20">
        <f t="shared" si="15"/>
        <v>7.177340400391595E-2</v>
      </c>
      <c r="Y83" s="17"/>
    </row>
    <row r="84" spans="1:25" x14ac:dyDescent="0.3">
      <c r="A84" s="1">
        <f t="shared" si="9"/>
        <v>84</v>
      </c>
      <c r="B84" s="2" t="s">
        <v>15</v>
      </c>
      <c r="C84" s="2" t="s">
        <v>24</v>
      </c>
      <c r="D84" s="2" t="s">
        <v>32</v>
      </c>
      <c r="E84" s="14">
        <f>+'SOUTH G4'!C28</f>
        <v>35</v>
      </c>
      <c r="F84" s="14">
        <f>+'SOUTH G4'!D28</f>
        <v>7525</v>
      </c>
      <c r="H84" s="15">
        <f>'SOUTH G4'!G28</f>
        <v>1875.65</v>
      </c>
      <c r="I84" s="15"/>
      <c r="J84" s="15">
        <f>'SOUTH G4'!K28</f>
        <v>2014.94</v>
      </c>
      <c r="K84" s="17">
        <f t="shared" si="10"/>
        <v>139.28999999999996</v>
      </c>
      <c r="L84" s="18">
        <f t="shared" si="11"/>
        <v>7.4262255751339518E-2</v>
      </c>
      <c r="M84" s="19"/>
      <c r="N84" s="15">
        <f>'SOUTH G4'!R28</f>
        <v>2037.14</v>
      </c>
      <c r="O84" s="17">
        <f t="shared" si="16"/>
        <v>22.200000000000045</v>
      </c>
      <c r="P84" s="18">
        <f t="shared" si="17"/>
        <v>1.1017697797453048E-2</v>
      </c>
      <c r="Q84" s="19"/>
      <c r="R84" s="15">
        <f>'SOUTH G4'!Y28</f>
        <v>2035.64</v>
      </c>
      <c r="S84" s="17">
        <f t="shared" si="12"/>
        <v>-1.5</v>
      </c>
      <c r="T84" s="18">
        <f t="shared" si="13"/>
        <v>-7.3632641841012397E-4</v>
      </c>
      <c r="V84" s="17">
        <f t="shared" si="14"/>
        <v>159.99</v>
      </c>
      <c r="W84" s="20">
        <f t="shared" si="15"/>
        <v>8.5298429877642412E-2</v>
      </c>
      <c r="Y84" s="17"/>
    </row>
    <row r="85" spans="1:25" x14ac:dyDescent="0.3">
      <c r="A85" s="1">
        <f t="shared" si="9"/>
        <v>85</v>
      </c>
      <c r="B85" s="2" t="s">
        <v>15</v>
      </c>
      <c r="C85" s="2" t="s">
        <v>24</v>
      </c>
      <c r="D85" s="2" t="s">
        <v>32</v>
      </c>
      <c r="E85" s="14">
        <f>+'SOUTH G4'!C36</f>
        <v>27</v>
      </c>
      <c r="F85" s="14">
        <f>+'SOUTH G4'!D36</f>
        <v>10530</v>
      </c>
      <c r="H85" s="15">
        <f>'SOUTH G4'!G36</f>
        <v>2429.91</v>
      </c>
      <c r="I85" s="15"/>
      <c r="J85" s="15">
        <f>'SOUTH G4'!K36</f>
        <v>2624.8199999999997</v>
      </c>
      <c r="K85" s="17">
        <f t="shared" si="10"/>
        <v>194.90999999999985</v>
      </c>
      <c r="L85" s="18">
        <f t="shared" si="11"/>
        <v>8.0212847389409425E-2</v>
      </c>
      <c r="M85" s="19"/>
      <c r="N85" s="15">
        <f>'SOUTH G4'!R36</f>
        <v>2655.88</v>
      </c>
      <c r="O85" s="17">
        <f t="shared" si="16"/>
        <v>31.0600000000004</v>
      </c>
      <c r="P85" s="18">
        <f t="shared" si="17"/>
        <v>1.1833192371286565E-2</v>
      </c>
      <c r="Q85" s="19"/>
      <c r="R85" s="15">
        <f>'SOUTH G4'!Y36</f>
        <v>2653.77</v>
      </c>
      <c r="S85" s="17">
        <f t="shared" si="12"/>
        <v>-2.1100000000001273</v>
      </c>
      <c r="T85" s="18">
        <f t="shared" si="13"/>
        <v>-7.9446360528341912E-4</v>
      </c>
      <c r="V85" s="17">
        <f t="shared" si="14"/>
        <v>223.86000000000013</v>
      </c>
      <c r="W85" s="20">
        <f t="shared" si="15"/>
        <v>9.212686889637893E-2</v>
      </c>
      <c r="Y85" s="17"/>
    </row>
    <row r="86" spans="1:25" x14ac:dyDescent="0.3">
      <c r="A86" s="1">
        <f t="shared" si="9"/>
        <v>86</v>
      </c>
      <c r="E86" s="14"/>
      <c r="H86" s="15"/>
      <c r="I86" s="15"/>
      <c r="J86" s="16"/>
      <c r="K86" s="17"/>
      <c r="L86" s="18"/>
      <c r="M86" s="19"/>
      <c r="N86" s="16"/>
      <c r="O86" s="17"/>
      <c r="P86" s="18"/>
      <c r="Q86" s="19"/>
      <c r="R86" s="16"/>
      <c r="S86" s="17"/>
      <c r="T86" s="18"/>
      <c r="V86" s="17"/>
      <c r="W86" s="20"/>
      <c r="Y86" s="17"/>
    </row>
    <row r="87" spans="1:25" x14ac:dyDescent="0.3">
      <c r="A87" s="1">
        <f t="shared" si="9"/>
        <v>87</v>
      </c>
      <c r="B87" s="2" t="s">
        <v>15</v>
      </c>
      <c r="C87" s="2" t="s">
        <v>23</v>
      </c>
      <c r="D87" s="2" t="s">
        <v>33</v>
      </c>
      <c r="F87" s="14">
        <f>+'CAMB G5'!C23</f>
        <v>9649</v>
      </c>
      <c r="H87" s="15">
        <f>'CAMB G5'!F23</f>
        <v>2413.2600000000002</v>
      </c>
      <c r="I87" s="15"/>
      <c r="J87" s="15">
        <f>'CAMB G5'!J23</f>
        <v>2591.86</v>
      </c>
      <c r="K87" s="17">
        <f t="shared" si="10"/>
        <v>178.59999999999991</v>
      </c>
      <c r="L87" s="18">
        <f t="shared" si="11"/>
        <v>7.4007773716880859E-2</v>
      </c>
      <c r="M87" s="19"/>
      <c r="N87" s="15">
        <f>'CAMB G5'!Q23</f>
        <v>2620.3200000000002</v>
      </c>
      <c r="O87" s="17">
        <f t="shared" si="16"/>
        <v>28.460000000000036</v>
      </c>
      <c r="P87" s="18">
        <f t="shared" si="17"/>
        <v>1.0980531355860284E-2</v>
      </c>
      <c r="Q87" s="19"/>
      <c r="R87" s="15">
        <f>'CAMB G5'!X23</f>
        <v>2618.3900000000003</v>
      </c>
      <c r="S87" s="17">
        <f t="shared" si="12"/>
        <v>-1.9299999999998363</v>
      </c>
      <c r="T87" s="18">
        <f t="shared" si="13"/>
        <v>-7.3655126091463495E-4</v>
      </c>
      <c r="V87" s="17">
        <f t="shared" si="14"/>
        <v>205.13000000000011</v>
      </c>
      <c r="W87" s="20">
        <f t="shared" si="15"/>
        <v>8.5001201693974168E-2</v>
      </c>
      <c r="Y87" s="17"/>
    </row>
    <row r="88" spans="1:25" x14ac:dyDescent="0.3">
      <c r="A88" s="1">
        <f t="shared" si="9"/>
        <v>88</v>
      </c>
      <c r="H88" s="15"/>
      <c r="I88" s="15"/>
      <c r="J88" s="16"/>
      <c r="K88" s="17"/>
      <c r="L88" s="18"/>
      <c r="M88" s="19"/>
      <c r="N88" s="16"/>
      <c r="O88" s="17"/>
      <c r="P88" s="18"/>
      <c r="Q88" s="19"/>
      <c r="R88" s="16"/>
      <c r="S88" s="17"/>
      <c r="T88" s="18"/>
      <c r="V88" s="17"/>
      <c r="W88" s="20"/>
      <c r="Y88" s="17"/>
    </row>
    <row r="89" spans="1:25" x14ac:dyDescent="0.3">
      <c r="A89" s="1">
        <f t="shared" si="9"/>
        <v>89</v>
      </c>
      <c r="B89" s="2" t="s">
        <v>15</v>
      </c>
      <c r="C89" s="2" t="s">
        <v>24</v>
      </c>
      <c r="D89" s="2" t="s">
        <v>34</v>
      </c>
      <c r="F89" s="14">
        <f>+'SOUTH G6'!C18</f>
        <v>69100</v>
      </c>
      <c r="H89" s="15">
        <f>'SOUTH G6'!F18</f>
        <v>16786.259999999998</v>
      </c>
      <c r="I89" s="15"/>
      <c r="J89" s="15">
        <f>'SOUTH G6'!J18</f>
        <v>18065.309999999998</v>
      </c>
      <c r="K89" s="17">
        <f t="shared" si="10"/>
        <v>1279.0499999999993</v>
      </c>
      <c r="L89" s="18">
        <f t="shared" si="11"/>
        <v>7.6196246215654906E-2</v>
      </c>
      <c r="M89" s="19"/>
      <c r="N89" s="15">
        <f>'SOUTH G6'!Q18</f>
        <v>18269.150000000001</v>
      </c>
      <c r="O89" s="17">
        <f t="shared" si="16"/>
        <v>203.84000000000378</v>
      </c>
      <c r="P89" s="18">
        <f t="shared" si="17"/>
        <v>1.1283504130291914E-2</v>
      </c>
      <c r="Q89" s="19"/>
      <c r="R89" s="15">
        <f>'SOUTH G6'!X18</f>
        <v>18255.330000000002</v>
      </c>
      <c r="S89" s="17">
        <f t="shared" si="12"/>
        <v>-13.819999999999709</v>
      </c>
      <c r="T89" s="18">
        <f t="shared" si="13"/>
        <v>-7.5646650227294146E-4</v>
      </c>
      <c r="V89" s="17">
        <f t="shared" si="14"/>
        <v>1469.0700000000033</v>
      </c>
      <c r="W89" s="20">
        <f t="shared" si="15"/>
        <v>8.7516218621658634E-2</v>
      </c>
      <c r="Y89" s="17"/>
    </row>
    <row r="90" spans="1:25" x14ac:dyDescent="0.3">
      <c r="A90" s="1">
        <f t="shared" si="9"/>
        <v>90</v>
      </c>
      <c r="H90" s="15"/>
      <c r="I90" s="15"/>
      <c r="J90" s="16"/>
      <c r="K90" s="17"/>
      <c r="L90" s="18"/>
      <c r="M90" s="19"/>
      <c r="N90" s="16"/>
      <c r="O90" s="17"/>
      <c r="P90" s="18"/>
      <c r="Q90" s="19"/>
      <c r="R90" s="16"/>
      <c r="S90" s="17"/>
      <c r="T90" s="18"/>
      <c r="V90" s="17"/>
      <c r="W90" s="20"/>
      <c r="Y90" s="17"/>
    </row>
    <row r="91" spans="1:25" x14ac:dyDescent="0.3">
      <c r="A91" s="1">
        <f t="shared" si="9"/>
        <v>91</v>
      </c>
      <c r="B91" s="2" t="s">
        <v>15</v>
      </c>
      <c r="C91" s="2" t="s">
        <v>23</v>
      </c>
      <c r="D91" s="2" t="s">
        <v>34</v>
      </c>
      <c r="F91" s="14">
        <f>+'CAMB G6'!C19</f>
        <v>3.5</v>
      </c>
      <c r="H91" s="15">
        <f>'CAMB G6'!F19</f>
        <v>21</v>
      </c>
      <c r="I91" s="15"/>
      <c r="J91" s="15">
        <f>'CAMB G6'!J19</f>
        <v>21.060000000000002</v>
      </c>
      <c r="K91" s="17">
        <f t="shared" si="10"/>
        <v>6.0000000000002274E-2</v>
      </c>
      <c r="L91" s="18">
        <f t="shared" si="11"/>
        <v>2.8571428571429656E-3</v>
      </c>
      <c r="M91" s="19"/>
      <c r="N91" s="15">
        <f>'CAMB G6'!Q19</f>
        <v>21.07</v>
      </c>
      <c r="O91" s="17">
        <f t="shared" si="16"/>
        <v>9.9999999999980105E-3</v>
      </c>
      <c r="P91" s="18">
        <f t="shared" si="17"/>
        <v>4.7483380816704698E-4</v>
      </c>
      <c r="Q91" s="19"/>
      <c r="R91" s="15">
        <f>'CAMB G6'!X19</f>
        <v>21.07</v>
      </c>
      <c r="S91" s="17">
        <f t="shared" si="12"/>
        <v>0</v>
      </c>
      <c r="T91" s="18">
        <f t="shared" si="13"/>
        <v>0</v>
      </c>
      <c r="V91" s="17">
        <f t="shared" si="14"/>
        <v>7.0000000000000284E-2</v>
      </c>
      <c r="W91" s="20">
        <f t="shared" si="15"/>
        <v>3.333333333333347E-3</v>
      </c>
      <c r="Y91" s="17"/>
    </row>
    <row r="92" spans="1:25" x14ac:dyDescent="0.3">
      <c r="A92" s="1">
        <f t="shared" si="9"/>
        <v>92</v>
      </c>
      <c r="H92" s="15"/>
      <c r="I92" s="15"/>
      <c r="J92" s="16"/>
      <c r="K92" s="17"/>
      <c r="L92" s="18"/>
      <c r="M92" s="19"/>
      <c r="N92" s="16"/>
      <c r="O92" s="17"/>
      <c r="P92" s="18"/>
      <c r="Q92" s="19"/>
      <c r="R92" s="16"/>
      <c r="S92" s="17"/>
      <c r="T92" s="18"/>
      <c r="V92" s="17"/>
      <c r="W92" s="20"/>
      <c r="Y92" s="17"/>
    </row>
    <row r="93" spans="1:25" x14ac:dyDescent="0.3">
      <c r="A93" s="1">
        <f t="shared" si="9"/>
        <v>93</v>
      </c>
      <c r="B93" s="2" t="s">
        <v>15</v>
      </c>
      <c r="C93" s="2" t="s">
        <v>24</v>
      </c>
      <c r="D93" s="2" t="s">
        <v>35</v>
      </c>
      <c r="E93" s="14">
        <f>+'SOUTH G7'!C20</f>
        <v>9</v>
      </c>
      <c r="F93" s="14">
        <f>+'SOUTH G7'!D20</f>
        <v>2340</v>
      </c>
      <c r="H93" s="15">
        <f>'SOUTH G7'!G20</f>
        <v>626.29</v>
      </c>
      <c r="I93" s="15"/>
      <c r="J93" s="15">
        <f>'SOUTH G7'!K20</f>
        <v>669.6099999999999</v>
      </c>
      <c r="K93" s="17">
        <f t="shared" si="10"/>
        <v>43.319999999999936</v>
      </c>
      <c r="L93" s="18">
        <f t="shared" si="11"/>
        <v>6.9169234699579973E-2</v>
      </c>
      <c r="M93" s="19"/>
      <c r="N93" s="15">
        <f>'SOUTH G7'!R20</f>
        <v>676.51</v>
      </c>
      <c r="O93" s="17">
        <f t="shared" si="16"/>
        <v>6.9000000000000909</v>
      </c>
      <c r="P93" s="18">
        <f t="shared" si="17"/>
        <v>1.0304505607741958E-2</v>
      </c>
      <c r="Q93" s="19"/>
      <c r="R93" s="15">
        <f>'SOUTH G7'!Y20</f>
        <v>676.04</v>
      </c>
      <c r="S93" s="17">
        <f t="shared" si="12"/>
        <v>-0.47000000000002728</v>
      </c>
      <c r="T93" s="18">
        <f t="shared" si="13"/>
        <v>-6.9474213241493442E-4</v>
      </c>
      <c r="V93" s="17">
        <f t="shared" si="14"/>
        <v>49.75</v>
      </c>
      <c r="W93" s="20">
        <f t="shared" si="15"/>
        <v>7.9436044005173331E-2</v>
      </c>
      <c r="Y93" s="17"/>
    </row>
    <row r="94" spans="1:25" x14ac:dyDescent="0.3">
      <c r="A94" s="1">
        <f t="shared" si="9"/>
        <v>94</v>
      </c>
      <c r="B94" s="2" t="s">
        <v>15</v>
      </c>
      <c r="C94" s="2" t="s">
        <v>24</v>
      </c>
      <c r="D94" s="2" t="s">
        <v>35</v>
      </c>
      <c r="E94" s="14">
        <f>+'SOUTH G7'!C28</f>
        <v>6</v>
      </c>
      <c r="F94" s="14">
        <f>+'SOUTH G7'!D28</f>
        <v>2970</v>
      </c>
      <c r="H94" s="15">
        <f>'SOUTH G7'!G28</f>
        <v>766.49</v>
      </c>
      <c r="I94" s="15"/>
      <c r="J94" s="15">
        <f>'SOUTH G7'!K28</f>
        <v>821.46</v>
      </c>
      <c r="K94" s="17">
        <f t="shared" si="10"/>
        <v>54.970000000000027</v>
      </c>
      <c r="L94" s="18">
        <f t="shared" si="11"/>
        <v>7.1716525982074161E-2</v>
      </c>
      <c r="M94" s="19"/>
      <c r="N94" s="15">
        <f>'SOUTH G7'!R28</f>
        <v>830.22</v>
      </c>
      <c r="O94" s="17">
        <f t="shared" si="16"/>
        <v>8.7599999999999909</v>
      </c>
      <c r="P94" s="18">
        <f t="shared" si="17"/>
        <v>1.0663939814476652E-2</v>
      </c>
      <c r="Q94" s="19"/>
      <c r="R94" s="15">
        <f>'SOUTH G7'!Y28</f>
        <v>829.63</v>
      </c>
      <c r="S94" s="17">
        <f t="shared" si="12"/>
        <v>-0.59000000000003183</v>
      </c>
      <c r="T94" s="18">
        <f t="shared" si="13"/>
        <v>-7.1065500710658835E-4</v>
      </c>
      <c r="V94" s="17">
        <f t="shared" si="14"/>
        <v>63.139999999999986</v>
      </c>
      <c r="W94" s="20">
        <f t="shared" si="15"/>
        <v>8.2375503920468607E-2</v>
      </c>
      <c r="Y94" s="17"/>
    </row>
    <row r="95" spans="1:25" x14ac:dyDescent="0.3">
      <c r="A95" s="1">
        <f t="shared" si="9"/>
        <v>95</v>
      </c>
      <c r="B95" s="2" t="s">
        <v>15</v>
      </c>
      <c r="C95" s="2" t="s">
        <v>24</v>
      </c>
      <c r="D95" s="2" t="s">
        <v>35</v>
      </c>
      <c r="E95" s="14">
        <f>+'SOUTH G7'!C36</f>
        <v>7</v>
      </c>
      <c r="F95" s="14">
        <f>+'SOUTH G7'!D36</f>
        <v>4375</v>
      </c>
      <c r="H95" s="15">
        <f>'SOUTH G7'!G36</f>
        <v>1111.8</v>
      </c>
      <c r="I95" s="15"/>
      <c r="J95" s="15">
        <f>'SOUTH G7'!K36</f>
        <v>1192.79</v>
      </c>
      <c r="K95" s="17">
        <f t="shared" si="10"/>
        <v>80.990000000000009</v>
      </c>
      <c r="L95" s="18">
        <f t="shared" si="11"/>
        <v>7.2845835581939203E-2</v>
      </c>
      <c r="M95" s="19"/>
      <c r="N95" s="15">
        <f>'SOUTH G7'!R36</f>
        <v>1205.69</v>
      </c>
      <c r="O95" s="17">
        <f t="shared" si="16"/>
        <v>12.900000000000091</v>
      </c>
      <c r="P95" s="18">
        <f t="shared" si="17"/>
        <v>1.0814980004862626E-2</v>
      </c>
      <c r="Q95" s="19"/>
      <c r="R95" s="15">
        <f>'SOUTH G7'!Y36</f>
        <v>1204.8200000000002</v>
      </c>
      <c r="S95" s="17">
        <f t="shared" si="12"/>
        <v>-0.86999999999989086</v>
      </c>
      <c r="T95" s="18">
        <f t="shared" si="13"/>
        <v>-7.2157851520696927E-4</v>
      </c>
      <c r="V95" s="17">
        <f t="shared" si="14"/>
        <v>93.020000000000209</v>
      </c>
      <c r="W95" s="20">
        <f t="shared" si="15"/>
        <v>8.3666127001259416E-2</v>
      </c>
      <c r="Y95" s="17"/>
    </row>
    <row r="96" spans="1:25" x14ac:dyDescent="0.3">
      <c r="A96" s="1">
        <f t="shared" si="9"/>
        <v>96</v>
      </c>
      <c r="E96" s="14"/>
      <c r="H96" s="15"/>
      <c r="I96" s="15"/>
      <c r="J96" s="16"/>
      <c r="K96" s="17"/>
      <c r="L96" s="18"/>
      <c r="M96" s="19"/>
      <c r="N96" s="16"/>
      <c r="O96" s="17"/>
      <c r="P96" s="18"/>
      <c r="Q96" s="19"/>
      <c r="R96" s="16"/>
      <c r="S96" s="17"/>
      <c r="T96" s="18"/>
      <c r="V96" s="17"/>
      <c r="W96" s="20"/>
      <c r="Y96" s="17"/>
    </row>
    <row r="97" spans="1:25" x14ac:dyDescent="0.3">
      <c r="A97" s="1">
        <f t="shared" si="9"/>
        <v>97</v>
      </c>
      <c r="B97" s="2" t="s">
        <v>15</v>
      </c>
      <c r="C97" s="2" t="s">
        <v>21</v>
      </c>
      <c r="D97" s="2" t="s">
        <v>36</v>
      </c>
      <c r="F97" s="14">
        <f>+'BOS T1'!C21</f>
        <v>475</v>
      </c>
      <c r="H97" s="15">
        <f>'BOS T1'!F21</f>
        <v>146.79</v>
      </c>
      <c r="I97" s="15"/>
      <c r="J97" s="15">
        <f>'BOS T1'!J21</f>
        <v>155.57999999999998</v>
      </c>
      <c r="K97" s="17">
        <f t="shared" si="10"/>
        <v>8.789999999999992</v>
      </c>
      <c r="L97" s="18">
        <f t="shared" si="11"/>
        <v>5.9881463314939661E-2</v>
      </c>
      <c r="M97" s="19"/>
      <c r="N97" s="15">
        <f>'BOS T1'!Q21</f>
        <v>156.98000000000002</v>
      </c>
      <c r="O97" s="17">
        <f t="shared" si="16"/>
        <v>1.4000000000000341</v>
      </c>
      <c r="P97" s="18">
        <f t="shared" si="17"/>
        <v>8.9985859364959137E-3</v>
      </c>
      <c r="Q97" s="19"/>
      <c r="R97" s="15">
        <f>'BOS T1'!X21</f>
        <v>156.88999999999999</v>
      </c>
      <c r="S97" s="17">
        <f t="shared" si="12"/>
        <v>-9.0000000000031832E-2</v>
      </c>
      <c r="T97" s="18">
        <f t="shared" si="13"/>
        <v>-5.7332144222214184E-4</v>
      </c>
      <c r="V97" s="17">
        <f t="shared" si="14"/>
        <v>10.099999999999994</v>
      </c>
      <c r="W97" s="20">
        <f t="shared" si="15"/>
        <v>6.8805776960283366E-2</v>
      </c>
      <c r="Y97" s="17"/>
    </row>
    <row r="98" spans="1:25" x14ac:dyDescent="0.3">
      <c r="A98" s="1">
        <f t="shared" si="9"/>
        <v>98</v>
      </c>
      <c r="B98" s="2" t="s">
        <v>15</v>
      </c>
      <c r="C98" s="2" t="s">
        <v>21</v>
      </c>
      <c r="D98" s="2" t="s">
        <v>37</v>
      </c>
      <c r="E98" s="14"/>
      <c r="F98" s="14">
        <f>+'BOS T1'!C33</f>
        <v>475</v>
      </c>
      <c r="H98" s="15">
        <f>'BOS T1'!F33</f>
        <v>152.94999999999999</v>
      </c>
      <c r="I98" s="15"/>
      <c r="J98" s="15">
        <f>'BOS T1'!J33</f>
        <v>161.74</v>
      </c>
      <c r="K98" s="17">
        <f t="shared" si="10"/>
        <v>8.7900000000000205</v>
      </c>
      <c r="L98" s="18">
        <f t="shared" si="11"/>
        <v>5.7469761359921684E-2</v>
      </c>
      <c r="M98" s="19"/>
      <c r="N98" s="15">
        <f>'BOS T1'!Q33</f>
        <v>163.13999999999999</v>
      </c>
      <c r="O98" s="17">
        <f t="shared" si="16"/>
        <v>1.3999999999999773</v>
      </c>
      <c r="P98" s="18">
        <f t="shared" si="17"/>
        <v>8.6558674415727534E-3</v>
      </c>
      <c r="Q98" s="19"/>
      <c r="R98" s="15">
        <f>'BOS T1'!X33</f>
        <v>163.04</v>
      </c>
      <c r="S98" s="17">
        <f t="shared" si="12"/>
        <v>-9.9999999999994316E-2</v>
      </c>
      <c r="T98" s="18">
        <f t="shared" si="13"/>
        <v>-6.1297045482404269E-4</v>
      </c>
      <c r="V98" s="17">
        <f t="shared" si="14"/>
        <v>10.090000000000003</v>
      </c>
      <c r="W98" s="20">
        <f t="shared" si="15"/>
        <v>6.5969271003595967E-2</v>
      </c>
      <c r="Y98" s="17"/>
    </row>
    <row r="99" spans="1:25" x14ac:dyDescent="0.3">
      <c r="A99" s="1">
        <f t="shared" si="9"/>
        <v>99</v>
      </c>
      <c r="H99" s="15"/>
      <c r="I99" s="15"/>
      <c r="J99" s="16"/>
      <c r="K99" s="17"/>
      <c r="L99" s="18"/>
      <c r="M99" s="19"/>
      <c r="N99" s="16"/>
      <c r="O99" s="17"/>
      <c r="P99" s="18"/>
      <c r="Q99" s="19"/>
      <c r="R99" s="16"/>
      <c r="S99" s="17"/>
      <c r="T99" s="18"/>
      <c r="V99" s="17"/>
      <c r="W99" s="20"/>
      <c r="Y99" s="17"/>
    </row>
    <row r="100" spans="1:25" x14ac:dyDescent="0.3">
      <c r="A100" s="1">
        <f t="shared" si="9"/>
        <v>100</v>
      </c>
      <c r="B100" s="13" t="s">
        <v>17</v>
      </c>
      <c r="C100" s="13" t="s">
        <v>17</v>
      </c>
      <c r="D100" s="2" t="s">
        <v>38</v>
      </c>
      <c r="E100" s="14">
        <f>+'WMA T4'!C19</f>
        <v>130</v>
      </c>
      <c r="F100" s="14">
        <f>+'WMA T4'!D19</f>
        <v>32500</v>
      </c>
      <c r="H100" s="15">
        <f>'WMA T4'!G19</f>
        <v>7151.38</v>
      </c>
      <c r="I100" s="15"/>
      <c r="J100" s="15">
        <f>'WMA T4'!K19</f>
        <v>7752.9500000000007</v>
      </c>
      <c r="K100" s="17">
        <f t="shared" si="10"/>
        <v>601.57000000000062</v>
      </c>
      <c r="L100" s="18">
        <f t="shared" si="11"/>
        <v>8.4119428697678023E-2</v>
      </c>
      <c r="M100" s="19"/>
      <c r="N100" s="15">
        <f>'WMA T4'!R19</f>
        <v>7848.83</v>
      </c>
      <c r="O100" s="17">
        <f t="shared" si="16"/>
        <v>95.8799999999992</v>
      </c>
      <c r="P100" s="18">
        <f t="shared" si="17"/>
        <v>1.2366905500486807E-2</v>
      </c>
      <c r="Q100" s="19"/>
      <c r="R100" s="15">
        <f>'WMA T4'!Y19</f>
        <v>7842.33</v>
      </c>
      <c r="S100" s="17">
        <f t="shared" si="12"/>
        <v>-6.5</v>
      </c>
      <c r="T100" s="18">
        <f t="shared" si="13"/>
        <v>-8.2814890881825699E-4</v>
      </c>
      <c r="V100" s="17">
        <f t="shared" si="14"/>
        <v>690.94999999999982</v>
      </c>
      <c r="W100" s="20">
        <f t="shared" si="15"/>
        <v>9.6617715741577126E-2</v>
      </c>
      <c r="Y100" s="17"/>
    </row>
    <row r="101" spans="1:25" x14ac:dyDescent="0.3">
      <c r="A101" s="1">
        <f t="shared" si="9"/>
        <v>101</v>
      </c>
      <c r="B101" s="13" t="s">
        <v>17</v>
      </c>
      <c r="C101" s="13" t="s">
        <v>17</v>
      </c>
      <c r="D101" s="2" t="s">
        <v>38</v>
      </c>
      <c r="E101" s="14">
        <f>+'WMA T4'!C27</f>
        <v>140</v>
      </c>
      <c r="F101" s="14">
        <f>+'WMA T4'!D27</f>
        <v>56000</v>
      </c>
      <c r="H101" s="15">
        <f>'WMA T4'!G27</f>
        <v>10300.75</v>
      </c>
      <c r="I101" s="15"/>
      <c r="J101" s="15">
        <f>'WMA T4'!K27</f>
        <v>11337.310000000001</v>
      </c>
      <c r="K101" s="17">
        <f t="shared" si="10"/>
        <v>1036.5600000000013</v>
      </c>
      <c r="L101" s="18">
        <f t="shared" si="11"/>
        <v>0.10062956580831506</v>
      </c>
      <c r="M101" s="19"/>
      <c r="N101" s="15">
        <f>'WMA T4'!R27</f>
        <v>11502.51</v>
      </c>
      <c r="O101" s="17">
        <f t="shared" si="16"/>
        <v>165.19999999999891</v>
      </c>
      <c r="P101" s="18">
        <f t="shared" si="17"/>
        <v>1.4571357755940244E-2</v>
      </c>
      <c r="Q101" s="19"/>
      <c r="R101" s="15">
        <f>'WMA T4'!Y27</f>
        <v>11491.310000000001</v>
      </c>
      <c r="S101" s="17">
        <f t="shared" si="12"/>
        <v>-11.199999999998909</v>
      </c>
      <c r="T101" s="18">
        <f t="shared" si="13"/>
        <v>-9.7370052275537326E-4</v>
      </c>
      <c r="V101" s="17">
        <f t="shared" si="14"/>
        <v>1190.5600000000013</v>
      </c>
      <c r="W101" s="20">
        <f t="shared" si="15"/>
        <v>0.11557993349998799</v>
      </c>
      <c r="Y101" s="17"/>
    </row>
    <row r="102" spans="1:25" x14ac:dyDescent="0.3">
      <c r="A102" s="1">
        <f t="shared" si="9"/>
        <v>102</v>
      </c>
      <c r="B102" s="13" t="s">
        <v>17</v>
      </c>
      <c r="C102" s="13" t="s">
        <v>17</v>
      </c>
      <c r="D102" s="2" t="s">
        <v>38</v>
      </c>
      <c r="E102" s="14">
        <f>+'WMA T4'!C35</f>
        <v>100</v>
      </c>
      <c r="F102" s="14">
        <f>+'WMA T4'!D35</f>
        <v>55000</v>
      </c>
      <c r="H102" s="15">
        <f>'WMA T4'!G35</f>
        <v>9251.77</v>
      </c>
      <c r="I102" s="15"/>
      <c r="J102" s="15">
        <f>'WMA T4'!K35</f>
        <v>10269.82</v>
      </c>
      <c r="K102" s="17">
        <f t="shared" si="10"/>
        <v>1018.0499999999993</v>
      </c>
      <c r="L102" s="18">
        <f t="shared" si="11"/>
        <v>0.11003840346225632</v>
      </c>
      <c r="M102" s="19"/>
      <c r="N102" s="15">
        <f>'WMA T4'!R35</f>
        <v>10432.07</v>
      </c>
      <c r="O102" s="17">
        <f t="shared" si="16"/>
        <v>162.25</v>
      </c>
      <c r="P102" s="18">
        <f t="shared" si="17"/>
        <v>1.5798718964889356E-2</v>
      </c>
      <c r="Q102" s="19"/>
      <c r="R102" s="15">
        <f>'WMA T4'!Y35</f>
        <v>10421.07</v>
      </c>
      <c r="S102" s="17">
        <f t="shared" si="12"/>
        <v>-11</v>
      </c>
      <c r="T102" s="18">
        <f t="shared" si="13"/>
        <v>-1.054440777333741E-3</v>
      </c>
      <c r="V102" s="17">
        <f t="shared" si="14"/>
        <v>1169.2999999999993</v>
      </c>
      <c r="W102" s="20">
        <f t="shared" si="15"/>
        <v>0.12638662655902591</v>
      </c>
      <c r="Y102" s="17"/>
    </row>
    <row r="103" spans="1:25" x14ac:dyDescent="0.3">
      <c r="A103" s="1">
        <f t="shared" si="9"/>
        <v>103</v>
      </c>
      <c r="H103" s="15"/>
      <c r="I103" s="15"/>
      <c r="J103" s="16"/>
      <c r="K103" s="17"/>
      <c r="L103" s="18"/>
      <c r="M103" s="19"/>
      <c r="N103" s="16"/>
      <c r="O103" s="17"/>
      <c r="P103" s="18"/>
      <c r="Q103" s="19"/>
      <c r="R103" s="16"/>
      <c r="S103" s="17"/>
      <c r="T103" s="18"/>
      <c r="V103" s="17"/>
      <c r="W103" s="20"/>
      <c r="Y103" s="17"/>
    </row>
    <row r="104" spans="1:25" x14ac:dyDescent="0.3">
      <c r="A104" s="1">
        <f t="shared" si="9"/>
        <v>104</v>
      </c>
      <c r="B104" s="13" t="s">
        <v>17</v>
      </c>
      <c r="C104" s="13" t="s">
        <v>17</v>
      </c>
      <c r="D104" s="2" t="s">
        <v>39</v>
      </c>
      <c r="E104" s="14">
        <f>+'WMA T5'!C19</f>
        <v>3600</v>
      </c>
      <c r="F104" s="14">
        <f>+'WMA T5'!D19</f>
        <v>936000</v>
      </c>
      <c r="H104" s="15">
        <f>'WMA T5'!G19</f>
        <v>183524.09599999999</v>
      </c>
      <c r="I104" s="15"/>
      <c r="J104" s="15">
        <f>'WMA T5'!K19</f>
        <v>200849.45599999998</v>
      </c>
      <c r="K104" s="17">
        <f t="shared" si="10"/>
        <v>17325.359999999986</v>
      </c>
      <c r="L104" s="18">
        <f t="shared" si="11"/>
        <v>9.4403734319443197E-2</v>
      </c>
      <c r="M104" s="19"/>
      <c r="N104" s="15">
        <f>'WMA T5'!R19</f>
        <v>203610.65599999999</v>
      </c>
      <c r="O104" s="17">
        <f t="shared" si="16"/>
        <v>2761.2000000000116</v>
      </c>
      <c r="P104" s="18">
        <f t="shared" si="17"/>
        <v>1.3747610050783567E-2</v>
      </c>
      <c r="Q104" s="19"/>
      <c r="R104" s="15">
        <f>'WMA T5'!Y19</f>
        <v>203423.45599999998</v>
      </c>
      <c r="S104" s="17">
        <f t="shared" si="12"/>
        <v>-187.20000000001164</v>
      </c>
      <c r="T104" s="18">
        <f t="shared" si="13"/>
        <v>-9.1940178219361785E-4</v>
      </c>
      <c r="V104" s="17">
        <f t="shared" si="14"/>
        <v>19899.359999999986</v>
      </c>
      <c r="W104" s="20">
        <f t="shared" si="15"/>
        <v>0.10842914055274784</v>
      </c>
      <c r="Y104" s="17"/>
    </row>
    <row r="105" spans="1:25" x14ac:dyDescent="0.3">
      <c r="A105" s="1">
        <f t="shared" si="9"/>
        <v>105</v>
      </c>
      <c r="B105" s="13" t="s">
        <v>17</v>
      </c>
      <c r="C105" s="13" t="s">
        <v>17</v>
      </c>
      <c r="D105" s="2" t="s">
        <v>39</v>
      </c>
      <c r="E105" s="14">
        <f>+'WMA T5'!C27</f>
        <v>4000</v>
      </c>
      <c r="F105" s="14">
        <f>+'WMA T5'!D27</f>
        <v>1940000</v>
      </c>
      <c r="H105" s="15">
        <f>'WMA T5'!G27</f>
        <v>306035.83999999997</v>
      </c>
      <c r="I105" s="15"/>
      <c r="J105" s="15">
        <f>'WMA T5'!K27</f>
        <v>341945.24</v>
      </c>
      <c r="K105" s="17">
        <f t="shared" si="10"/>
        <v>35909.400000000023</v>
      </c>
      <c r="L105" s="18">
        <f t="shared" si="11"/>
        <v>0.11733723736409443</v>
      </c>
      <c r="M105" s="19"/>
      <c r="N105" s="15">
        <f>'WMA T5'!R27</f>
        <v>347668.24</v>
      </c>
      <c r="O105" s="17">
        <f t="shared" si="16"/>
        <v>5723</v>
      </c>
      <c r="P105" s="18">
        <f t="shared" si="17"/>
        <v>1.6736597941822497E-2</v>
      </c>
      <c r="Q105" s="19"/>
      <c r="R105" s="15">
        <f>'WMA T5'!Y27</f>
        <v>347280.24</v>
      </c>
      <c r="S105" s="17">
        <f t="shared" si="12"/>
        <v>-388</v>
      </c>
      <c r="T105" s="18">
        <f t="shared" si="13"/>
        <v>-1.1160064548892932E-3</v>
      </c>
      <c r="V105" s="17">
        <f t="shared" si="14"/>
        <v>41244.400000000023</v>
      </c>
      <c r="W105" s="20">
        <f t="shared" si="15"/>
        <v>0.13476983610808468</v>
      </c>
      <c r="Y105" s="17"/>
    </row>
    <row r="106" spans="1:25" x14ac:dyDescent="0.3">
      <c r="A106" s="1">
        <f t="shared" si="9"/>
        <v>106</v>
      </c>
      <c r="B106" s="13" t="s">
        <v>17</v>
      </c>
      <c r="C106" s="13" t="s">
        <v>17</v>
      </c>
      <c r="D106" s="2" t="s">
        <v>39</v>
      </c>
      <c r="E106" s="14">
        <f>+'WMA T5'!C35</f>
        <v>2844</v>
      </c>
      <c r="F106" s="14">
        <f>+'WMA T5'!D35</f>
        <v>1649520</v>
      </c>
      <c r="H106" s="15">
        <f>'WMA T5'!G35</f>
        <v>249472.91071999999</v>
      </c>
      <c r="I106" s="15"/>
      <c r="J106" s="15">
        <f>'WMA T5'!K35</f>
        <v>280005.52591999999</v>
      </c>
      <c r="K106" s="17">
        <f t="shared" si="10"/>
        <v>30532.6152</v>
      </c>
      <c r="L106" s="18">
        <f t="shared" si="11"/>
        <v>0.12238849946425158</v>
      </c>
      <c r="M106" s="19"/>
      <c r="N106" s="15">
        <f>'WMA T5'!R35</f>
        <v>284871.60992000002</v>
      </c>
      <c r="O106" s="17">
        <f t="shared" si="16"/>
        <v>4866.0840000000317</v>
      </c>
      <c r="P106" s="18">
        <f t="shared" si="17"/>
        <v>1.7378528455864524E-2</v>
      </c>
      <c r="Q106" s="19"/>
      <c r="R106" s="15">
        <f>'WMA T5'!Y35</f>
        <v>284541.70591999998</v>
      </c>
      <c r="S106" s="17">
        <f t="shared" si="12"/>
        <v>-329.90400000003865</v>
      </c>
      <c r="T106" s="18">
        <f t="shared" si="13"/>
        <v>-1.158079599763153E-3</v>
      </c>
      <c r="V106" s="17">
        <f t="shared" si="14"/>
        <v>35068.795199999993</v>
      </c>
      <c r="W106" s="20">
        <f t="shared" si="15"/>
        <v>0.14057155584062606</v>
      </c>
      <c r="Y106" s="17"/>
    </row>
    <row r="107" spans="1:25" x14ac:dyDescent="0.3">
      <c r="H107" s="21"/>
      <c r="I107" s="21"/>
      <c r="J107" s="19"/>
      <c r="K107" s="18"/>
      <c r="M107" s="19"/>
      <c r="N107" s="19"/>
      <c r="O107" s="18"/>
      <c r="Q107" s="19"/>
      <c r="R107" s="19"/>
      <c r="S107" s="18"/>
      <c r="T107" s="20"/>
      <c r="V107" s="18"/>
      <c r="W107" s="20"/>
      <c r="Y107" s="17"/>
    </row>
    <row r="108" spans="1:25" x14ac:dyDescent="0.3">
      <c r="H108" s="21"/>
      <c r="I108" s="21"/>
      <c r="J108" s="19"/>
      <c r="K108" s="18"/>
      <c r="M108" s="19"/>
      <c r="N108" s="19"/>
      <c r="O108" s="18"/>
      <c r="Q108" s="19"/>
      <c r="R108" s="19"/>
      <c r="S108" s="18"/>
      <c r="V108" s="18"/>
      <c r="Y108" s="17"/>
    </row>
    <row r="109" spans="1:25" x14ac:dyDescent="0.3">
      <c r="H109" s="21"/>
      <c r="I109" s="21"/>
      <c r="J109" s="19"/>
      <c r="K109" s="18"/>
      <c r="M109" s="19"/>
      <c r="N109" s="19"/>
      <c r="O109" s="18"/>
      <c r="Q109" s="19"/>
      <c r="R109" s="19"/>
      <c r="S109" s="18"/>
      <c r="V109" s="18"/>
      <c r="Y109" s="17"/>
    </row>
    <row r="110" spans="1:25" x14ac:dyDescent="0.3">
      <c r="H110" s="21"/>
      <c r="I110" s="21"/>
      <c r="J110" s="19"/>
      <c r="K110" s="18"/>
      <c r="M110" s="19"/>
      <c r="N110" s="19"/>
      <c r="O110" s="18"/>
      <c r="Q110" s="19"/>
      <c r="R110" s="19"/>
      <c r="S110" s="18"/>
      <c r="V110" s="18"/>
      <c r="Y110" s="17"/>
    </row>
    <row r="111" spans="1:25" x14ac:dyDescent="0.3">
      <c r="H111" s="21"/>
      <c r="I111" s="21"/>
      <c r="J111" s="19"/>
      <c r="K111" s="18"/>
      <c r="M111" s="19"/>
      <c r="N111" s="19"/>
      <c r="O111" s="18"/>
      <c r="Q111" s="19"/>
      <c r="R111" s="19"/>
      <c r="S111" s="18"/>
      <c r="V111" s="18"/>
      <c r="Y111" s="17"/>
    </row>
    <row r="112" spans="1:25" x14ac:dyDescent="0.3">
      <c r="H112" s="21"/>
      <c r="I112" s="21"/>
      <c r="J112" s="19"/>
      <c r="K112" s="18"/>
      <c r="M112" s="19"/>
      <c r="N112" s="19"/>
      <c r="O112" s="18"/>
      <c r="Q112" s="19"/>
      <c r="R112" s="19"/>
      <c r="S112" s="18"/>
      <c r="V112" s="18"/>
      <c r="Y112" s="17"/>
    </row>
    <row r="113" spans="8:25" x14ac:dyDescent="0.3">
      <c r="H113" s="21"/>
      <c r="I113" s="21"/>
      <c r="J113" s="19"/>
      <c r="K113" s="18"/>
      <c r="M113" s="19"/>
      <c r="N113" s="19"/>
      <c r="O113" s="18"/>
      <c r="Q113" s="19"/>
      <c r="R113" s="19"/>
      <c r="S113" s="18"/>
      <c r="V113" s="18"/>
      <c r="Y113" s="17"/>
    </row>
    <row r="114" spans="8:25" x14ac:dyDescent="0.3">
      <c r="H114" s="21"/>
      <c r="I114" s="21"/>
      <c r="J114" s="19"/>
      <c r="K114" s="18"/>
      <c r="M114" s="19"/>
      <c r="N114" s="19"/>
      <c r="O114" s="18"/>
      <c r="Q114" s="19"/>
      <c r="R114" s="19"/>
      <c r="S114" s="18"/>
      <c r="V114" s="18"/>
    </row>
    <row r="115" spans="8:25" x14ac:dyDescent="0.3">
      <c r="H115" s="21"/>
      <c r="I115" s="21"/>
      <c r="J115" s="19"/>
      <c r="K115" s="18"/>
      <c r="M115" s="19"/>
      <c r="N115" s="19"/>
      <c r="O115" s="18"/>
      <c r="Q115" s="19"/>
      <c r="R115" s="19"/>
      <c r="S115" s="18"/>
      <c r="V115" s="18"/>
    </row>
    <row r="116" spans="8:25" x14ac:dyDescent="0.3">
      <c r="H116" s="21"/>
      <c r="I116" s="21"/>
      <c r="J116" s="19"/>
      <c r="K116" s="18"/>
      <c r="M116" s="19"/>
      <c r="N116" s="19"/>
      <c r="O116" s="18"/>
      <c r="Q116" s="19"/>
      <c r="R116" s="19"/>
      <c r="S116" s="18"/>
      <c r="V116" s="18"/>
    </row>
    <row r="117" spans="8:25" x14ac:dyDescent="0.3">
      <c r="H117" s="21"/>
      <c r="I117" s="21"/>
      <c r="J117" s="19"/>
      <c r="K117" s="18"/>
      <c r="M117" s="19"/>
      <c r="N117" s="19"/>
      <c r="O117" s="18"/>
      <c r="Q117" s="19"/>
      <c r="R117" s="19"/>
      <c r="S117" s="18"/>
      <c r="V117" s="18"/>
    </row>
    <row r="118" spans="8:25" x14ac:dyDescent="0.3">
      <c r="H118" s="21"/>
      <c r="I118" s="21"/>
      <c r="J118" s="19"/>
      <c r="K118" s="18"/>
      <c r="M118" s="19"/>
      <c r="N118" s="19"/>
      <c r="O118" s="18"/>
      <c r="Q118" s="19"/>
      <c r="R118" s="19"/>
      <c r="S118" s="18"/>
      <c r="V118" s="18"/>
    </row>
    <row r="119" spans="8:25" x14ac:dyDescent="0.3">
      <c r="H119" s="21"/>
      <c r="I119" s="21"/>
      <c r="J119" s="19"/>
      <c r="K119" s="18"/>
      <c r="M119" s="19"/>
      <c r="N119" s="19"/>
      <c r="O119" s="18"/>
      <c r="Q119" s="19"/>
      <c r="R119" s="19"/>
      <c r="S119" s="18"/>
      <c r="V119" s="18"/>
    </row>
    <row r="120" spans="8:25" x14ac:dyDescent="0.3">
      <c r="H120" s="21"/>
      <c r="I120" s="21"/>
      <c r="J120" s="19"/>
      <c r="K120" s="18"/>
      <c r="M120" s="19"/>
      <c r="N120" s="19"/>
      <c r="O120" s="18"/>
      <c r="Q120" s="19"/>
      <c r="R120" s="19"/>
      <c r="S120" s="18"/>
      <c r="V120" s="18"/>
    </row>
    <row r="121" spans="8:25" x14ac:dyDescent="0.3">
      <c r="H121" s="21"/>
      <c r="I121" s="21"/>
      <c r="J121" s="19"/>
      <c r="K121" s="18"/>
      <c r="M121" s="19"/>
      <c r="N121" s="19"/>
      <c r="O121" s="18"/>
      <c r="Q121" s="19"/>
      <c r="R121" s="19"/>
      <c r="S121" s="18"/>
      <c r="V121" s="18"/>
    </row>
  </sheetData>
  <mergeCells count="8">
    <mergeCell ref="J8:L8"/>
    <mergeCell ref="N8:P8"/>
    <mergeCell ref="R8:W8"/>
    <mergeCell ref="E10:F10"/>
    <mergeCell ref="K10:L10"/>
    <mergeCell ref="O10:P10"/>
    <mergeCell ref="S10:T10"/>
    <mergeCell ref="V10:W10"/>
  </mergeCells>
  <pageMargins left="0.7" right="0.7" top="0.75" bottom="0.75" header="0.3" footer="0.3"/>
  <pageSetup scale="41" fitToHeight="2" orientation="portrait" r:id="rId1"/>
  <headerFooter>
    <oddHeader>&amp;R&amp;"Times New Roman,Regular"NSTAR Electric Company 
d/b/a Eversource Energy
D.P.U. 24-149
Exhibit Eversource Energy-6 (Revised)
Page &amp;P of &amp;N</oddHeader>
  </headerFooter>
  <rowBreaks count="1" manualBreakCount="1">
    <brk id="6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5D07-45DE-4D58-ABC4-E545A643B153}">
  <sheetPr>
    <tabColor theme="3" tint="0.59999389629810485"/>
    <pageSetUpPr fitToPage="1"/>
  </sheetPr>
  <dimension ref="A1:AA109"/>
  <sheetViews>
    <sheetView zoomScaleNormal="100" workbookViewId="0"/>
  </sheetViews>
  <sheetFormatPr defaultColWidth="8.7265625" defaultRowHeight="13" x14ac:dyDescent="0.3"/>
  <cols>
    <col min="1" max="1" width="3.81640625" style="68" customWidth="1"/>
    <col min="2" max="2" width="4.453125" style="68" bestFit="1" customWidth="1"/>
    <col min="3" max="6" width="12.1796875" style="68" customWidth="1"/>
    <col min="7" max="7" width="1.81640625" style="68" customWidth="1"/>
    <col min="8" max="10" width="12.1796875" style="68" customWidth="1"/>
    <col min="11" max="11" width="1.81640625" style="68" customWidth="1"/>
    <col min="12" max="13" width="12.1796875" style="68" customWidth="1"/>
    <col min="14" max="14" width="2" style="68" customWidth="1"/>
    <col min="15" max="17" width="12.1796875" style="68" customWidth="1"/>
    <col min="18" max="18" width="2" style="68" customWidth="1"/>
    <col min="19" max="20" width="12.1796875" style="68" customWidth="1"/>
    <col min="21" max="21" width="2.1796875" style="68" customWidth="1"/>
    <col min="22" max="24" width="12.1796875" style="68" customWidth="1"/>
    <col min="25" max="25" width="2.1796875" style="68" customWidth="1"/>
    <col min="26" max="27" width="12.1796875" style="68" customWidth="1"/>
    <col min="28" max="16384" width="8.7265625" style="68"/>
  </cols>
  <sheetData>
    <row r="1" spans="1:27" ht="14" x14ac:dyDescent="0.3">
      <c r="A1" s="67">
        <v>1</v>
      </c>
      <c r="C1" s="69"/>
      <c r="D1" s="70"/>
      <c r="E1" s="70"/>
      <c r="F1" s="70"/>
      <c r="G1" s="70"/>
      <c r="H1" s="70"/>
      <c r="I1" s="70"/>
      <c r="J1" s="70"/>
      <c r="K1" s="70"/>
      <c r="L1" s="70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7" ht="14" x14ac:dyDescent="0.3">
      <c r="A2" s="67">
        <f>A1+1</f>
        <v>2</v>
      </c>
      <c r="C2" s="72"/>
      <c r="D2" s="70"/>
      <c r="E2" s="70"/>
      <c r="F2" s="70"/>
      <c r="G2" s="70"/>
      <c r="H2" s="70"/>
      <c r="I2" s="70"/>
      <c r="J2" s="70"/>
      <c r="K2" s="70"/>
      <c r="L2" s="70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7" ht="14" x14ac:dyDescent="0.3">
      <c r="A3" s="67">
        <f t="shared" ref="A3:A52" si="0">A2+1</f>
        <v>3</v>
      </c>
      <c r="B3" s="24" t="s">
        <v>115</v>
      </c>
      <c r="D3" s="27"/>
      <c r="E3" s="27"/>
      <c r="F3" s="27"/>
      <c r="G3" s="27"/>
      <c r="L3" s="73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7" ht="14" x14ac:dyDescent="0.3">
      <c r="A4" s="67">
        <f t="shared" si="0"/>
        <v>4</v>
      </c>
      <c r="B4" s="24" t="s">
        <v>41</v>
      </c>
      <c r="D4" s="28"/>
      <c r="E4" s="28"/>
      <c r="F4" s="28"/>
      <c r="G4" s="28"/>
      <c r="H4" s="74"/>
      <c r="I4" s="74"/>
      <c r="J4" s="74"/>
      <c r="K4" s="74"/>
      <c r="L4" s="28"/>
      <c r="W4" s="28"/>
      <c r="X4" s="75"/>
    </row>
    <row r="5" spans="1:27" ht="14" x14ac:dyDescent="0.3">
      <c r="A5" s="67">
        <f t="shared" si="0"/>
        <v>5</v>
      </c>
      <c r="B5" s="24"/>
      <c r="D5" s="28"/>
      <c r="E5" s="28"/>
      <c r="F5" s="28"/>
      <c r="G5" s="28"/>
      <c r="H5" s="74"/>
      <c r="I5" s="74"/>
      <c r="J5" s="74"/>
      <c r="K5" s="74"/>
      <c r="L5" s="28"/>
      <c r="W5" s="28"/>
      <c r="X5" s="75"/>
    </row>
    <row r="6" spans="1:27" ht="14" x14ac:dyDescent="0.3">
      <c r="A6" s="67">
        <f t="shared" si="0"/>
        <v>6</v>
      </c>
      <c r="B6" s="24" t="s">
        <v>121</v>
      </c>
      <c r="D6" s="28"/>
      <c r="E6" s="28"/>
      <c r="F6" s="28"/>
      <c r="G6" s="28"/>
      <c r="H6" s="74"/>
      <c r="I6" s="74"/>
      <c r="J6" s="74"/>
      <c r="K6" s="74"/>
      <c r="L6" s="28"/>
      <c r="W6" s="28"/>
      <c r="X6" s="75"/>
    </row>
    <row r="7" spans="1:27" ht="14" x14ac:dyDescent="0.3">
      <c r="A7" s="67">
        <f t="shared" si="0"/>
        <v>7</v>
      </c>
      <c r="B7" s="67"/>
      <c r="D7" s="28"/>
      <c r="E7" s="28"/>
      <c r="F7" s="28"/>
      <c r="G7" s="28"/>
      <c r="H7" s="74"/>
      <c r="I7" s="74"/>
      <c r="J7" s="74"/>
      <c r="K7" s="74"/>
      <c r="L7" s="28"/>
      <c r="W7" s="28"/>
      <c r="X7" s="75"/>
    </row>
    <row r="8" spans="1:27" ht="14" x14ac:dyDescent="0.3">
      <c r="A8" s="67">
        <f t="shared" si="0"/>
        <v>8</v>
      </c>
      <c r="B8" s="27"/>
      <c r="D8" s="28"/>
      <c r="E8" s="28"/>
      <c r="F8" s="28"/>
      <c r="G8" s="28"/>
      <c r="H8" s="28"/>
      <c r="I8" s="28"/>
      <c r="J8" s="28"/>
      <c r="K8" s="28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8"/>
      <c r="X8" s="75"/>
    </row>
    <row r="9" spans="1:27" ht="14" x14ac:dyDescent="0.3">
      <c r="A9" s="67">
        <f t="shared" si="0"/>
        <v>9</v>
      </c>
      <c r="B9" s="27"/>
      <c r="D9" s="28"/>
      <c r="E9" s="28"/>
      <c r="F9" s="28"/>
      <c r="G9" s="28"/>
      <c r="H9" s="28"/>
      <c r="I9" s="28"/>
      <c r="J9" s="28"/>
      <c r="K9" s="28"/>
      <c r="L9" s="28"/>
      <c r="M9" s="30"/>
      <c r="N9" s="30"/>
      <c r="O9" s="30"/>
      <c r="P9" s="30"/>
      <c r="Q9" s="30"/>
      <c r="R9" s="30"/>
      <c r="S9" s="30"/>
      <c r="T9" s="30"/>
      <c r="U9" s="30"/>
      <c r="V9" s="30"/>
      <c r="W9" s="28"/>
      <c r="X9" s="75"/>
    </row>
    <row r="10" spans="1:27" ht="14" x14ac:dyDescent="0.3">
      <c r="A10" s="67">
        <f t="shared" si="0"/>
        <v>10</v>
      </c>
      <c r="B10" s="27"/>
      <c r="C10" s="27" t="s">
        <v>2</v>
      </c>
      <c r="D10" s="32" t="str">
        <f>'EMA R1'!D10</f>
        <v>2024 Monthly Bill</v>
      </c>
      <c r="E10" s="32"/>
      <c r="F10" s="32"/>
      <c r="G10" s="33"/>
      <c r="H10" s="32" t="str">
        <f>'EMA R1'!H10</f>
        <v>2025 Illustrative Monthly Bill</v>
      </c>
      <c r="I10" s="32"/>
      <c r="J10" s="32"/>
      <c r="K10" s="23"/>
      <c r="L10" s="32" t="str">
        <f>'EMA R1'!L10</f>
        <v>2025 vs. 2024</v>
      </c>
      <c r="M10" s="32"/>
      <c r="N10" s="27"/>
      <c r="O10" s="32" t="str">
        <f>'EMA R1'!O10</f>
        <v>2026 Illustrative Monthly Bill</v>
      </c>
      <c r="P10" s="32"/>
      <c r="Q10" s="32"/>
      <c r="R10" s="33"/>
      <c r="S10" s="32" t="str">
        <f>'EMA R1'!S10</f>
        <v>2026 vs. 2025</v>
      </c>
      <c r="T10" s="32"/>
      <c r="U10" s="23"/>
      <c r="V10" s="32" t="str">
        <f>'EMA R1'!V10</f>
        <v>2027 Illustrative Monthly Bill</v>
      </c>
      <c r="W10" s="32"/>
      <c r="X10" s="32"/>
      <c r="Y10" s="33"/>
      <c r="Z10" s="32" t="str">
        <f>'EMA R1'!Z10</f>
        <v>2027 vs. 2026</v>
      </c>
      <c r="AA10" s="32"/>
    </row>
    <row r="11" spans="1:27" ht="14" x14ac:dyDescent="0.3">
      <c r="A11" s="67">
        <f t="shared" si="0"/>
        <v>11</v>
      </c>
      <c r="B11" s="27"/>
      <c r="C11" s="34" t="s">
        <v>47</v>
      </c>
      <c r="D11" s="34" t="s">
        <v>48</v>
      </c>
      <c r="E11" s="34" t="s">
        <v>49</v>
      </c>
      <c r="F11" s="34" t="s">
        <v>50</v>
      </c>
      <c r="G11" s="34"/>
      <c r="H11" s="34" t="s">
        <v>48</v>
      </c>
      <c r="I11" s="34" t="s">
        <v>49</v>
      </c>
      <c r="J11" s="34" t="s">
        <v>50</v>
      </c>
      <c r="K11" s="23"/>
      <c r="L11" s="34" t="s">
        <v>51</v>
      </c>
      <c r="M11" s="34" t="s">
        <v>14</v>
      </c>
      <c r="N11" s="34"/>
      <c r="O11" s="34" t="s">
        <v>48</v>
      </c>
      <c r="P11" s="34" t="s">
        <v>49</v>
      </c>
      <c r="Q11" s="34" t="s">
        <v>50</v>
      </c>
      <c r="R11" s="34"/>
      <c r="S11" s="34" t="s">
        <v>51</v>
      </c>
      <c r="T11" s="34" t="s">
        <v>14</v>
      </c>
      <c r="U11" s="23"/>
      <c r="V11" s="34" t="s">
        <v>48</v>
      </c>
      <c r="W11" s="34" t="s">
        <v>49</v>
      </c>
      <c r="X11" s="34" t="s">
        <v>50</v>
      </c>
      <c r="Y11" s="34"/>
      <c r="Z11" s="34" t="s">
        <v>51</v>
      </c>
      <c r="AA11" s="34" t="s">
        <v>14</v>
      </c>
    </row>
    <row r="12" spans="1:27" ht="14" x14ac:dyDescent="0.3">
      <c r="A12" s="67">
        <f t="shared" si="0"/>
        <v>12</v>
      </c>
      <c r="B12" s="27"/>
      <c r="C12" s="76">
        <v>1</v>
      </c>
      <c r="D12" s="36">
        <f>ROUND(SUM($H$26:$H$51)*C12,2)+H$25</f>
        <v>20.100000000000001</v>
      </c>
      <c r="E12" s="36">
        <f>ROUND($H$52*C12,2)</f>
        <v>0.14000000000000001</v>
      </c>
      <c r="F12" s="36">
        <f>SUM(D12:E12)</f>
        <v>20.240000000000002</v>
      </c>
      <c r="G12" s="36"/>
      <c r="H12" s="36">
        <f>ROUND(SUM($I$26:$I$51)*C12,2)+I$25</f>
        <v>20.12</v>
      </c>
      <c r="I12" s="36">
        <f>ROUND($I$52*C12,2)</f>
        <v>0.14000000000000001</v>
      </c>
      <c r="J12" s="36">
        <f>SUM(H12:I12)</f>
        <v>20.260000000000002</v>
      </c>
      <c r="K12" s="37"/>
      <c r="L12" s="36">
        <f>+J12-F12</f>
        <v>1.9999999999999574E-2</v>
      </c>
      <c r="M12" s="38">
        <f>+L12/F12</f>
        <v>9.8814229249009748E-4</v>
      </c>
      <c r="N12" s="38"/>
      <c r="O12" s="36">
        <f>ROUND(SUM($J$26:$J$51)*C12,2)+J$25</f>
        <v>20.12</v>
      </c>
      <c r="P12" s="36">
        <f>ROUND($J$52*C12,2)</f>
        <v>0.14000000000000001</v>
      </c>
      <c r="Q12" s="36">
        <f>SUM(O12:P12)</f>
        <v>20.260000000000002</v>
      </c>
      <c r="R12" s="36"/>
      <c r="S12" s="36">
        <f>+Q12-J12</f>
        <v>0</v>
      </c>
      <c r="T12" s="38">
        <f>+S12/J12</f>
        <v>0</v>
      </c>
      <c r="U12" s="23"/>
      <c r="V12" s="36">
        <f>ROUND(SUM($L$26:$L$51)*C12,2)+L$25</f>
        <v>20.12</v>
      </c>
      <c r="W12" s="36">
        <f>ROUND($L$52*C12,2)</f>
        <v>0.14000000000000001</v>
      </c>
      <c r="X12" s="36">
        <f>SUM(V12:W12)</f>
        <v>20.260000000000002</v>
      </c>
      <c r="Y12" s="36"/>
      <c r="Z12" s="36">
        <f>X12-Q12</f>
        <v>0</v>
      </c>
      <c r="AA12" s="38">
        <f>+Z12/Q12</f>
        <v>0</v>
      </c>
    </row>
    <row r="13" spans="1:27" ht="14" x14ac:dyDescent="0.3">
      <c r="A13" s="67">
        <f t="shared" si="0"/>
        <v>13</v>
      </c>
      <c r="B13" s="27"/>
      <c r="C13" s="76">
        <v>25</v>
      </c>
      <c r="D13" s="36">
        <f>ROUND(SUM($H$26:$H$51)*C13,2)+H$25</f>
        <v>22.54</v>
      </c>
      <c r="E13" s="36">
        <f t="shared" ref="E13:E20" si="1">ROUND($H$52*C13,2)</f>
        <v>3.5</v>
      </c>
      <c r="F13" s="36">
        <f t="shared" ref="F13:F20" si="2">SUM(D13:E13)</f>
        <v>26.04</v>
      </c>
      <c r="G13" s="36"/>
      <c r="H13" s="36">
        <f>ROUND(SUM($I$26:$I$51)*C13,2)+I$25</f>
        <v>23</v>
      </c>
      <c r="I13" s="36">
        <f t="shared" ref="I13:I20" si="3">ROUND($I$52*C13,2)</f>
        <v>3.5</v>
      </c>
      <c r="J13" s="36">
        <f t="shared" ref="J13:J20" si="4">SUM(H13:I13)</f>
        <v>26.5</v>
      </c>
      <c r="K13" s="37"/>
      <c r="L13" s="36">
        <f t="shared" ref="L13:L20" si="5">+J13-F13</f>
        <v>0.46000000000000085</v>
      </c>
      <c r="M13" s="38">
        <f t="shared" ref="M13:M20" si="6">+L13/F13</f>
        <v>1.7665130568356408E-2</v>
      </c>
      <c r="N13" s="38"/>
      <c r="O13" s="36">
        <f t="shared" ref="O13:O20" si="7">ROUND(SUM($J$26:$J$51)*C13,2)+J$25</f>
        <v>23.08</v>
      </c>
      <c r="P13" s="36">
        <f t="shared" ref="P13:P20" si="8">ROUND($J$52*C13,2)</f>
        <v>3.5</v>
      </c>
      <c r="Q13" s="36">
        <f t="shared" ref="Q13:Q20" si="9">SUM(O13:P13)</f>
        <v>26.58</v>
      </c>
      <c r="R13" s="36"/>
      <c r="S13" s="36">
        <f t="shared" ref="S13:S20" si="10">+Q13-J13</f>
        <v>7.9999999999998295E-2</v>
      </c>
      <c r="T13" s="38">
        <f t="shared" ref="T13:T20" si="11">+S13/J13</f>
        <v>3.0188679245282376E-3</v>
      </c>
      <c r="U13" s="23"/>
      <c r="V13" s="36">
        <f t="shared" ref="V13:V20" si="12">ROUND(SUM($L$26:$L$51)*C13,2)+L$25</f>
        <v>23.07</v>
      </c>
      <c r="W13" s="36">
        <f t="shared" ref="W13:W20" si="13">ROUND($L$52*C13,2)</f>
        <v>3.5</v>
      </c>
      <c r="X13" s="36">
        <f t="shared" ref="X13:X20" si="14">SUM(V13:W13)</f>
        <v>26.57</v>
      </c>
      <c r="Y13" s="36"/>
      <c r="Z13" s="36">
        <f t="shared" ref="Z13:Z20" si="15">X13-Q13</f>
        <v>-9.9999999999980105E-3</v>
      </c>
      <c r="AA13" s="38">
        <f t="shared" ref="AA13:AA20" si="16">+Z13/Q13</f>
        <v>-3.7622272385244587E-4</v>
      </c>
    </row>
    <row r="14" spans="1:27" ht="14" x14ac:dyDescent="0.3">
      <c r="A14" s="67">
        <f t="shared" si="0"/>
        <v>14</v>
      </c>
      <c r="B14" s="27"/>
      <c r="C14" s="76">
        <v>50</v>
      </c>
      <c r="D14" s="36">
        <f t="shared" ref="D14:D20" si="17">ROUND(SUM($H$26:$H$51)*C14,2)+H$25</f>
        <v>25.08</v>
      </c>
      <c r="E14" s="36">
        <f t="shared" si="1"/>
        <v>6.99</v>
      </c>
      <c r="F14" s="36">
        <f t="shared" si="2"/>
        <v>32.07</v>
      </c>
      <c r="G14" s="36"/>
      <c r="H14" s="36">
        <f t="shared" ref="H14:H20" si="18">ROUND(SUM($I$26:$I$51)*C14,2)+I$25</f>
        <v>26.009999999999998</v>
      </c>
      <c r="I14" s="36">
        <f t="shared" si="3"/>
        <v>6.99</v>
      </c>
      <c r="J14" s="36">
        <f t="shared" si="4"/>
        <v>33</v>
      </c>
      <c r="K14" s="37"/>
      <c r="L14" s="36">
        <f t="shared" si="5"/>
        <v>0.92999999999999972</v>
      </c>
      <c r="M14" s="38">
        <f t="shared" si="6"/>
        <v>2.8999064546304947E-2</v>
      </c>
      <c r="N14" s="38"/>
      <c r="O14" s="36">
        <f>ROUND(SUM($J$26:$J$51)*C14,2)+J$25</f>
        <v>26.15</v>
      </c>
      <c r="P14" s="36">
        <f t="shared" si="8"/>
        <v>6.99</v>
      </c>
      <c r="Q14" s="36">
        <f t="shared" si="9"/>
        <v>33.14</v>
      </c>
      <c r="R14" s="36"/>
      <c r="S14" s="36">
        <f t="shared" si="10"/>
        <v>0.14000000000000057</v>
      </c>
      <c r="T14" s="38">
        <f t="shared" si="11"/>
        <v>4.2424242424242593E-3</v>
      </c>
      <c r="U14" s="23"/>
      <c r="V14" s="36">
        <f>ROUND(SUM($L$26:$L$51)*C14,2)+L$25</f>
        <v>26.14</v>
      </c>
      <c r="W14" s="36">
        <f t="shared" si="13"/>
        <v>6.99</v>
      </c>
      <c r="X14" s="36">
        <f t="shared" si="14"/>
        <v>33.130000000000003</v>
      </c>
      <c r="Y14" s="36"/>
      <c r="Z14" s="36">
        <f t="shared" si="15"/>
        <v>-9.9999999999980105E-3</v>
      </c>
      <c r="AA14" s="38">
        <f t="shared" si="16"/>
        <v>-3.0175015087501538E-4</v>
      </c>
    </row>
    <row r="15" spans="1:27" ht="14" x14ac:dyDescent="0.3">
      <c r="A15" s="67">
        <f t="shared" si="0"/>
        <v>15</v>
      </c>
      <c r="B15" s="27"/>
      <c r="C15" s="76">
        <v>100</v>
      </c>
      <c r="D15" s="36">
        <f t="shared" si="17"/>
        <v>30.16</v>
      </c>
      <c r="E15" s="36">
        <f t="shared" si="1"/>
        <v>13.98</v>
      </c>
      <c r="F15" s="36">
        <f t="shared" si="2"/>
        <v>44.14</v>
      </c>
      <c r="G15" s="36"/>
      <c r="H15" s="36">
        <f t="shared" si="18"/>
        <v>32.01</v>
      </c>
      <c r="I15" s="36">
        <f>ROUND($I$52*C15,2)</f>
        <v>13.98</v>
      </c>
      <c r="J15" s="36">
        <f t="shared" si="4"/>
        <v>45.989999999999995</v>
      </c>
      <c r="K15" s="37"/>
      <c r="L15" s="36">
        <f t="shared" si="5"/>
        <v>1.8499999999999943</v>
      </c>
      <c r="M15" s="38">
        <f t="shared" si="6"/>
        <v>4.1912097870412196E-2</v>
      </c>
      <c r="N15" s="38"/>
      <c r="O15" s="36">
        <f t="shared" si="7"/>
        <v>32.31</v>
      </c>
      <c r="P15" s="36">
        <f t="shared" si="8"/>
        <v>13.98</v>
      </c>
      <c r="Q15" s="36">
        <f t="shared" si="9"/>
        <v>46.290000000000006</v>
      </c>
      <c r="R15" s="36"/>
      <c r="S15" s="36">
        <f t="shared" si="10"/>
        <v>0.30000000000001137</v>
      </c>
      <c r="T15" s="38">
        <f t="shared" si="11"/>
        <v>6.5231572080889626E-3</v>
      </c>
      <c r="U15" s="23"/>
      <c r="V15" s="36">
        <f t="shared" si="12"/>
        <v>32.29</v>
      </c>
      <c r="W15" s="36">
        <f t="shared" si="13"/>
        <v>13.98</v>
      </c>
      <c r="X15" s="36">
        <f t="shared" si="14"/>
        <v>46.269999999999996</v>
      </c>
      <c r="Y15" s="36"/>
      <c r="Z15" s="36">
        <f t="shared" si="15"/>
        <v>-2.0000000000010232E-2</v>
      </c>
      <c r="AA15" s="38">
        <f t="shared" si="16"/>
        <v>-4.3205875999157979E-4</v>
      </c>
    </row>
    <row r="16" spans="1:27" ht="14" x14ac:dyDescent="0.3">
      <c r="A16" s="67">
        <f t="shared" si="0"/>
        <v>16</v>
      </c>
      <c r="B16" s="27"/>
      <c r="C16" s="76">
        <v>125</v>
      </c>
      <c r="D16" s="36">
        <f t="shared" si="17"/>
        <v>32.700000000000003</v>
      </c>
      <c r="E16" s="36">
        <f t="shared" si="1"/>
        <v>17.48</v>
      </c>
      <c r="F16" s="36">
        <f t="shared" si="2"/>
        <v>50.180000000000007</v>
      </c>
      <c r="G16" s="36"/>
      <c r="H16" s="36">
        <f t="shared" si="18"/>
        <v>35.01</v>
      </c>
      <c r="I16" s="36">
        <f t="shared" si="3"/>
        <v>17.48</v>
      </c>
      <c r="J16" s="36">
        <f t="shared" si="4"/>
        <v>52.489999999999995</v>
      </c>
      <c r="K16" s="37"/>
      <c r="L16" s="36">
        <f t="shared" si="5"/>
        <v>2.3099999999999881</v>
      </c>
      <c r="M16" s="38">
        <f t="shared" si="6"/>
        <v>4.6034276604224544E-2</v>
      </c>
      <c r="N16" s="38"/>
      <c r="O16" s="36">
        <f t="shared" si="7"/>
        <v>35.380000000000003</v>
      </c>
      <c r="P16" s="36">
        <f t="shared" si="8"/>
        <v>17.48</v>
      </c>
      <c r="Q16" s="36">
        <f t="shared" si="9"/>
        <v>52.86</v>
      </c>
      <c r="R16" s="36"/>
      <c r="S16" s="36">
        <f t="shared" si="10"/>
        <v>0.37000000000000455</v>
      </c>
      <c r="T16" s="38">
        <f t="shared" si="11"/>
        <v>7.048961706991895E-3</v>
      </c>
      <c r="U16" s="23"/>
      <c r="V16" s="36">
        <f t="shared" si="12"/>
        <v>35.36</v>
      </c>
      <c r="W16" s="36">
        <f t="shared" si="13"/>
        <v>17.48</v>
      </c>
      <c r="X16" s="36">
        <f t="shared" si="14"/>
        <v>52.84</v>
      </c>
      <c r="Y16" s="36"/>
      <c r="Z16" s="36">
        <f t="shared" si="15"/>
        <v>-1.9999999999996021E-2</v>
      </c>
      <c r="AA16" s="38">
        <f t="shared" si="16"/>
        <v>-3.7835792659848697E-4</v>
      </c>
    </row>
    <row r="17" spans="1:27" ht="14" x14ac:dyDescent="0.3">
      <c r="A17" s="67">
        <f t="shared" si="0"/>
        <v>17</v>
      </c>
      <c r="B17" s="27"/>
      <c r="C17" s="76">
        <v>250</v>
      </c>
      <c r="D17" s="36">
        <f t="shared" si="17"/>
        <v>45.4</v>
      </c>
      <c r="E17" s="36">
        <f>ROUND($H$52*C17,2)</f>
        <v>34.96</v>
      </c>
      <c r="F17" s="36">
        <f t="shared" si="2"/>
        <v>80.36</v>
      </c>
      <c r="G17" s="36"/>
      <c r="H17" s="36">
        <f t="shared" si="18"/>
        <v>50.03</v>
      </c>
      <c r="I17" s="36">
        <f>ROUND($I$52*C17,2)</f>
        <v>34.96</v>
      </c>
      <c r="J17" s="36">
        <f t="shared" si="4"/>
        <v>84.990000000000009</v>
      </c>
      <c r="K17" s="37"/>
      <c r="L17" s="36">
        <f t="shared" si="5"/>
        <v>4.6300000000000097</v>
      </c>
      <c r="M17" s="38">
        <f t="shared" si="6"/>
        <v>5.7615729218516792E-2</v>
      </c>
      <c r="N17" s="38"/>
      <c r="O17" s="36">
        <f t="shared" si="7"/>
        <v>50.760000000000005</v>
      </c>
      <c r="P17" s="36">
        <f>ROUND($J$52*C17,2)</f>
        <v>34.96</v>
      </c>
      <c r="Q17" s="36">
        <f t="shared" si="9"/>
        <v>85.72</v>
      </c>
      <c r="R17" s="36"/>
      <c r="S17" s="36">
        <f t="shared" si="10"/>
        <v>0.72999999999998977</v>
      </c>
      <c r="T17" s="38">
        <f t="shared" si="11"/>
        <v>8.5892457936226577E-3</v>
      </c>
      <c r="U17" s="23"/>
      <c r="V17" s="36">
        <f t="shared" si="12"/>
        <v>50.71</v>
      </c>
      <c r="W17" s="36">
        <f>ROUND($L$52*C17,2)</f>
        <v>34.96</v>
      </c>
      <c r="X17" s="36">
        <f t="shared" si="14"/>
        <v>85.67</v>
      </c>
      <c r="Y17" s="36"/>
      <c r="Z17" s="36">
        <f t="shared" si="15"/>
        <v>-4.9999999999997158E-2</v>
      </c>
      <c r="AA17" s="38">
        <f t="shared" si="16"/>
        <v>-5.832944470368311E-4</v>
      </c>
    </row>
    <row r="18" spans="1:27" ht="14" x14ac:dyDescent="0.3">
      <c r="A18" s="67">
        <f t="shared" si="0"/>
        <v>18</v>
      </c>
      <c r="B18" s="27"/>
      <c r="C18" s="76">
        <v>500</v>
      </c>
      <c r="D18" s="36">
        <f>ROUND(SUM($H$26:$H$51)*C18,2)+H$25</f>
        <v>70.8</v>
      </c>
      <c r="E18" s="36">
        <f t="shared" si="1"/>
        <v>69.91</v>
      </c>
      <c r="F18" s="36">
        <f t="shared" si="2"/>
        <v>140.70999999999998</v>
      </c>
      <c r="G18" s="36"/>
      <c r="H18" s="36">
        <f t="shared" si="18"/>
        <v>80.05</v>
      </c>
      <c r="I18" s="36">
        <f t="shared" si="3"/>
        <v>69.91</v>
      </c>
      <c r="J18" s="36">
        <f t="shared" si="4"/>
        <v>149.95999999999998</v>
      </c>
      <c r="K18" s="37"/>
      <c r="L18" s="36">
        <f t="shared" si="5"/>
        <v>9.25</v>
      </c>
      <c r="M18" s="38">
        <f t="shared" si="6"/>
        <v>6.573804278302893E-2</v>
      </c>
      <c r="N18" s="38"/>
      <c r="O18" s="36">
        <f t="shared" si="7"/>
        <v>81.53</v>
      </c>
      <c r="P18" s="36">
        <f t="shared" si="8"/>
        <v>69.91</v>
      </c>
      <c r="Q18" s="36">
        <f t="shared" si="9"/>
        <v>151.44</v>
      </c>
      <c r="R18" s="36"/>
      <c r="S18" s="36">
        <f t="shared" si="10"/>
        <v>1.4800000000000182</v>
      </c>
      <c r="T18" s="38">
        <f t="shared" si="11"/>
        <v>9.869298479594682E-3</v>
      </c>
      <c r="U18" s="23"/>
      <c r="V18" s="36">
        <f t="shared" si="12"/>
        <v>81.430000000000007</v>
      </c>
      <c r="W18" s="36">
        <f t="shared" si="13"/>
        <v>69.91</v>
      </c>
      <c r="X18" s="36">
        <f t="shared" si="14"/>
        <v>151.34</v>
      </c>
      <c r="Y18" s="36"/>
      <c r="Z18" s="36">
        <f t="shared" si="15"/>
        <v>-9.9999999999994316E-2</v>
      </c>
      <c r="AA18" s="38">
        <f t="shared" si="16"/>
        <v>-6.6032752245109828E-4</v>
      </c>
    </row>
    <row r="19" spans="1:27" ht="14" x14ac:dyDescent="0.3">
      <c r="A19" s="67">
        <f t="shared" si="0"/>
        <v>19</v>
      </c>
      <c r="B19" s="27"/>
      <c r="C19" s="76">
        <v>1250</v>
      </c>
      <c r="D19" s="36">
        <f t="shared" si="17"/>
        <v>146.99</v>
      </c>
      <c r="E19" s="36">
        <f t="shared" si="1"/>
        <v>174.78</v>
      </c>
      <c r="F19" s="36">
        <f t="shared" si="2"/>
        <v>321.77</v>
      </c>
      <c r="G19" s="36"/>
      <c r="H19" s="36">
        <f t="shared" si="18"/>
        <v>170.13</v>
      </c>
      <c r="I19" s="36">
        <f t="shared" si="3"/>
        <v>174.78</v>
      </c>
      <c r="J19" s="36">
        <f t="shared" si="4"/>
        <v>344.90999999999997</v>
      </c>
      <c r="K19" s="37"/>
      <c r="L19" s="36">
        <f t="shared" si="5"/>
        <v>23.139999999999986</v>
      </c>
      <c r="M19" s="38">
        <f t="shared" si="6"/>
        <v>7.1914721695621062E-2</v>
      </c>
      <c r="N19" s="38"/>
      <c r="O19" s="36">
        <f t="shared" si="7"/>
        <v>173.81</v>
      </c>
      <c r="P19" s="36">
        <f t="shared" si="8"/>
        <v>174.78</v>
      </c>
      <c r="Q19" s="36">
        <f t="shared" si="9"/>
        <v>348.59000000000003</v>
      </c>
      <c r="R19" s="36"/>
      <c r="S19" s="36">
        <f t="shared" si="10"/>
        <v>3.6800000000000637</v>
      </c>
      <c r="T19" s="38">
        <f t="shared" si="11"/>
        <v>1.0669450001449839E-2</v>
      </c>
      <c r="U19" s="23"/>
      <c r="V19" s="36">
        <f t="shared" si="12"/>
        <v>173.56</v>
      </c>
      <c r="W19" s="36">
        <f t="shared" si="13"/>
        <v>174.78</v>
      </c>
      <c r="X19" s="36">
        <f t="shared" si="14"/>
        <v>348.34000000000003</v>
      </c>
      <c r="Y19" s="36"/>
      <c r="Z19" s="36">
        <f t="shared" si="15"/>
        <v>-0.25</v>
      </c>
      <c r="AA19" s="38">
        <f t="shared" si="16"/>
        <v>-7.1717490461573757E-4</v>
      </c>
    </row>
    <row r="20" spans="1:27" ht="14" x14ac:dyDescent="0.3">
      <c r="A20" s="67">
        <f t="shared" si="0"/>
        <v>20</v>
      </c>
      <c r="B20" s="77" t="s">
        <v>52</v>
      </c>
      <c r="C20" s="76">
        <v>285</v>
      </c>
      <c r="D20" s="36">
        <f t="shared" si="17"/>
        <v>48.95</v>
      </c>
      <c r="E20" s="36">
        <f t="shared" si="1"/>
        <v>39.85</v>
      </c>
      <c r="F20" s="36">
        <f t="shared" si="2"/>
        <v>88.800000000000011</v>
      </c>
      <c r="G20" s="36"/>
      <c r="H20" s="36">
        <f t="shared" si="18"/>
        <v>54.23</v>
      </c>
      <c r="I20" s="36">
        <f t="shared" si="3"/>
        <v>39.85</v>
      </c>
      <c r="J20" s="36">
        <f t="shared" si="4"/>
        <v>94.08</v>
      </c>
      <c r="K20" s="37"/>
      <c r="L20" s="36">
        <f t="shared" si="5"/>
        <v>5.2799999999999869</v>
      </c>
      <c r="M20" s="38">
        <f t="shared" si="6"/>
        <v>5.9459459459459303E-2</v>
      </c>
      <c r="N20" s="38"/>
      <c r="O20" s="36">
        <f t="shared" si="7"/>
        <v>55.07</v>
      </c>
      <c r="P20" s="36">
        <f t="shared" si="8"/>
        <v>39.85</v>
      </c>
      <c r="Q20" s="36">
        <f t="shared" si="9"/>
        <v>94.92</v>
      </c>
      <c r="R20" s="36"/>
      <c r="S20" s="36">
        <f t="shared" si="10"/>
        <v>0.84000000000000341</v>
      </c>
      <c r="T20" s="38">
        <f t="shared" si="11"/>
        <v>8.9285714285714645E-3</v>
      </c>
      <c r="U20" s="23"/>
      <c r="V20" s="36">
        <f t="shared" si="12"/>
        <v>55.01</v>
      </c>
      <c r="W20" s="36">
        <f t="shared" si="13"/>
        <v>39.85</v>
      </c>
      <c r="X20" s="36">
        <f t="shared" si="14"/>
        <v>94.86</v>
      </c>
      <c r="Y20" s="36"/>
      <c r="Z20" s="36">
        <f t="shared" si="15"/>
        <v>-6.0000000000002274E-2</v>
      </c>
      <c r="AA20" s="38">
        <f t="shared" si="16"/>
        <v>-6.3211125158030203E-4</v>
      </c>
    </row>
    <row r="21" spans="1:27" ht="14" x14ac:dyDescent="0.3">
      <c r="A21" s="67">
        <f t="shared" si="0"/>
        <v>21</v>
      </c>
      <c r="B21" s="78"/>
      <c r="C21" s="78"/>
      <c r="D21" s="42"/>
      <c r="E21" s="42"/>
      <c r="F21" s="42"/>
      <c r="G21" s="42"/>
      <c r="H21" s="42"/>
      <c r="I21" s="42"/>
      <c r="J21" s="42"/>
      <c r="K21" s="42"/>
      <c r="L21" s="42"/>
      <c r="M21" s="79"/>
      <c r="N21" s="79"/>
      <c r="O21" s="79"/>
      <c r="P21" s="79"/>
      <c r="Q21" s="79"/>
      <c r="R21" s="79"/>
      <c r="S21" s="79"/>
      <c r="T21" s="79"/>
      <c r="U21" s="79"/>
      <c r="V21" s="79"/>
      <c r="X21" s="80"/>
      <c r="Z21" s="81"/>
    </row>
    <row r="22" spans="1:27" ht="14" x14ac:dyDescent="0.3">
      <c r="A22" s="67">
        <f t="shared" si="0"/>
        <v>22</v>
      </c>
      <c r="B22" s="27"/>
      <c r="C22" s="28"/>
      <c r="D22" s="37"/>
      <c r="E22" s="37"/>
      <c r="F22" s="37"/>
      <c r="G22" s="37"/>
      <c r="H22" s="37"/>
      <c r="I22" s="37"/>
      <c r="J22" s="37"/>
      <c r="K22" s="37"/>
      <c r="L22" s="37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28"/>
      <c r="X22" s="75"/>
    </row>
    <row r="23" spans="1:27" ht="14" x14ac:dyDescent="0.3">
      <c r="A23" s="67">
        <f t="shared" si="0"/>
        <v>23</v>
      </c>
      <c r="B23" s="27"/>
      <c r="C23" s="28" t="s">
        <v>53</v>
      </c>
      <c r="D23" s="37"/>
      <c r="E23" s="37"/>
      <c r="G23" s="83"/>
      <c r="H23" s="84">
        <f>+'EMA R1'!H28</f>
        <v>2024</v>
      </c>
      <c r="I23" s="84">
        <f>+'EMA R1'!I28</f>
        <v>2025</v>
      </c>
      <c r="J23" s="84">
        <f>+'EMA R1'!J28</f>
        <v>2026</v>
      </c>
      <c r="K23" s="84"/>
      <c r="L23" s="84">
        <f>+'EMA R1'!L28</f>
        <v>2027</v>
      </c>
      <c r="M23" s="84" t="str">
        <f>+'EMA R1'!M28</f>
        <v>2025 v 2024</v>
      </c>
      <c r="N23" s="84"/>
      <c r="O23" s="84" t="str">
        <f>+'EMA R1'!O28</f>
        <v>2026 v 2025</v>
      </c>
      <c r="P23" s="84" t="str">
        <f>+'EMA R1'!P28</f>
        <v>2027 v 2026</v>
      </c>
      <c r="Q23" s="30"/>
      <c r="R23" s="30"/>
      <c r="S23" s="30"/>
      <c r="T23" s="30"/>
      <c r="U23" s="30"/>
      <c r="V23" s="30"/>
      <c r="W23" s="28"/>
      <c r="X23" s="75"/>
    </row>
    <row r="24" spans="1:27" ht="15.5" x14ac:dyDescent="0.45">
      <c r="A24" s="67">
        <f t="shared" si="0"/>
        <v>24</v>
      </c>
      <c r="B24" s="27"/>
      <c r="C24" s="23" t="s">
        <v>53</v>
      </c>
      <c r="D24" s="37"/>
      <c r="E24" s="37"/>
      <c r="G24" s="85"/>
      <c r="H24" s="47" t="str">
        <f>+'EMA R1'!H29</f>
        <v>Rates</v>
      </c>
      <c r="I24" s="47" t="s">
        <v>57</v>
      </c>
      <c r="J24" s="47" t="s">
        <v>57</v>
      </c>
      <c r="K24" s="37"/>
      <c r="L24" s="47" t="s">
        <v>57</v>
      </c>
      <c r="M24" s="48" t="s">
        <v>51</v>
      </c>
      <c r="N24" s="22"/>
      <c r="O24" s="48" t="s">
        <v>51</v>
      </c>
      <c r="P24" s="48" t="s">
        <v>51</v>
      </c>
      <c r="Q24" s="30"/>
      <c r="R24" s="30"/>
      <c r="S24" s="30"/>
      <c r="T24" s="30"/>
      <c r="U24" s="30"/>
      <c r="V24" s="30"/>
      <c r="W24" s="28"/>
      <c r="X24" s="75"/>
    </row>
    <row r="25" spans="1:27" ht="14" x14ac:dyDescent="0.3">
      <c r="A25" s="67">
        <f t="shared" si="0"/>
        <v>25</v>
      </c>
      <c r="B25" s="27"/>
      <c r="C25" s="28" t="s">
        <v>58</v>
      </c>
      <c r="D25" s="86"/>
      <c r="E25" s="86"/>
      <c r="G25" s="87"/>
      <c r="H25" s="88">
        <v>20</v>
      </c>
      <c r="I25" s="49">
        <f t="shared" ref="I25:I52" si="19">+H25</f>
        <v>20</v>
      </c>
      <c r="J25" s="49">
        <f t="shared" ref="J25:J52" si="20">H25</f>
        <v>20</v>
      </c>
      <c r="K25" s="37"/>
      <c r="L25" s="49">
        <f t="shared" ref="L25:L52" si="21">H25</f>
        <v>20</v>
      </c>
      <c r="M25" s="50">
        <f t="shared" ref="M25:M52" si="22">+I25-H25</f>
        <v>0</v>
      </c>
      <c r="N25" s="50"/>
      <c r="O25" s="50">
        <f t="shared" ref="O25:O52" si="23">+J25-I25</f>
        <v>0</v>
      </c>
      <c r="P25" s="50">
        <f t="shared" ref="P25:P52" si="24">+L25-J25</f>
        <v>0</v>
      </c>
      <c r="Q25" s="89" t="s">
        <v>59</v>
      </c>
      <c r="R25" s="30"/>
      <c r="S25" s="30"/>
      <c r="T25" s="30"/>
      <c r="U25" s="30"/>
      <c r="V25" s="30"/>
      <c r="W25" s="28"/>
    </row>
    <row r="26" spans="1:27" ht="14" x14ac:dyDescent="0.3">
      <c r="A26" s="67">
        <f t="shared" si="0"/>
        <v>26</v>
      </c>
      <c r="B26" s="27"/>
      <c r="C26" s="28" t="s">
        <v>60</v>
      </c>
      <c r="D26" s="86"/>
      <c r="E26" s="86"/>
      <c r="G26" s="90"/>
      <c r="H26" s="91">
        <v>3.0689999999999999E-2</v>
      </c>
      <c r="I26" s="53">
        <f t="shared" si="19"/>
        <v>3.0689999999999999E-2</v>
      </c>
      <c r="J26" s="53">
        <f t="shared" si="20"/>
        <v>3.0689999999999999E-2</v>
      </c>
      <c r="K26" s="37"/>
      <c r="L26" s="53">
        <f t="shared" si="21"/>
        <v>3.0689999999999999E-2</v>
      </c>
      <c r="M26" s="54">
        <f t="shared" si="22"/>
        <v>0</v>
      </c>
      <c r="N26" s="54"/>
      <c r="O26" s="54">
        <f t="shared" si="23"/>
        <v>0</v>
      </c>
      <c r="P26" s="54">
        <f t="shared" si="24"/>
        <v>0</v>
      </c>
      <c r="Q26" s="89" t="s">
        <v>59</v>
      </c>
      <c r="W26" s="28"/>
    </row>
    <row r="27" spans="1:27" ht="14" x14ac:dyDescent="0.3">
      <c r="A27" s="67">
        <f t="shared" si="0"/>
        <v>27</v>
      </c>
      <c r="B27" s="27"/>
      <c r="C27" s="44" t="str">
        <f>+'EMA R1'!C32</f>
        <v>Exogenous Cost Adjustment</v>
      </c>
      <c r="D27" s="37"/>
      <c r="E27" s="37"/>
      <c r="G27" s="92"/>
      <c r="H27" s="91">
        <v>7.5000000000000002E-4</v>
      </c>
      <c r="I27" s="53">
        <f t="shared" si="19"/>
        <v>7.5000000000000002E-4</v>
      </c>
      <c r="J27" s="53">
        <f t="shared" si="20"/>
        <v>7.5000000000000002E-4</v>
      </c>
      <c r="K27" s="37"/>
      <c r="L27" s="53">
        <f t="shared" si="21"/>
        <v>7.5000000000000002E-4</v>
      </c>
      <c r="M27" s="54">
        <f t="shared" si="22"/>
        <v>0</v>
      </c>
      <c r="N27" s="54"/>
      <c r="O27" s="54">
        <f t="shared" si="23"/>
        <v>0</v>
      </c>
      <c r="P27" s="54">
        <f t="shared" si="24"/>
        <v>0</v>
      </c>
      <c r="Q27" s="89" t="str">
        <f>+'EMA R1'!Q32</f>
        <v>ECA</v>
      </c>
      <c r="W27" s="28"/>
    </row>
    <row r="28" spans="1:27" ht="14" x14ac:dyDescent="0.3">
      <c r="A28" s="67">
        <f t="shared" si="0"/>
        <v>28</v>
      </c>
      <c r="B28" s="27"/>
      <c r="C28" s="44" t="str">
        <f>+'EMA R1'!C33</f>
        <v>Revenue Decoupling</v>
      </c>
      <c r="D28" s="86"/>
      <c r="E28" s="86"/>
      <c r="G28" s="92"/>
      <c r="H28" s="91">
        <v>4.0000000000000003E-5</v>
      </c>
      <c r="I28" s="53">
        <f t="shared" si="19"/>
        <v>4.0000000000000003E-5</v>
      </c>
      <c r="J28" s="53">
        <f t="shared" si="20"/>
        <v>4.0000000000000003E-5</v>
      </c>
      <c r="K28" s="37"/>
      <c r="L28" s="53">
        <f t="shared" si="21"/>
        <v>4.0000000000000003E-5</v>
      </c>
      <c r="M28" s="54">
        <f t="shared" si="22"/>
        <v>0</v>
      </c>
      <c r="N28" s="54"/>
      <c r="O28" s="54">
        <f t="shared" si="23"/>
        <v>0</v>
      </c>
      <c r="P28" s="54">
        <f t="shared" si="24"/>
        <v>0</v>
      </c>
      <c r="Q28" s="89" t="str">
        <f>+'EMA R1'!Q33</f>
        <v>RDAF</v>
      </c>
      <c r="R28" s="93"/>
      <c r="S28" s="93"/>
      <c r="T28" s="93"/>
      <c r="U28" s="93"/>
      <c r="V28" s="93"/>
      <c r="W28" s="28"/>
    </row>
    <row r="29" spans="1:27" ht="14" x14ac:dyDescent="0.3">
      <c r="A29" s="67">
        <f t="shared" si="0"/>
        <v>29</v>
      </c>
      <c r="B29" s="27"/>
      <c r="C29" s="44" t="str">
        <f>+'EMA R1'!C34</f>
        <v>Distributed Solar Charge</v>
      </c>
      <c r="D29" s="86"/>
      <c r="E29" s="86"/>
      <c r="G29" s="92"/>
      <c r="H29" s="91">
        <v>5.8999999999999999E-3</v>
      </c>
      <c r="I29" s="53">
        <f t="shared" si="19"/>
        <v>5.8999999999999999E-3</v>
      </c>
      <c r="J29" s="53">
        <f t="shared" si="20"/>
        <v>5.8999999999999999E-3</v>
      </c>
      <c r="K29" s="37"/>
      <c r="L29" s="53">
        <f t="shared" si="21"/>
        <v>5.8999999999999999E-3</v>
      </c>
      <c r="M29" s="54">
        <f t="shared" si="22"/>
        <v>0</v>
      </c>
      <c r="N29" s="54"/>
      <c r="O29" s="54">
        <f t="shared" si="23"/>
        <v>0</v>
      </c>
      <c r="P29" s="54">
        <f t="shared" si="24"/>
        <v>0</v>
      </c>
      <c r="Q29" s="89" t="str">
        <f>+'EMA R1'!Q34</f>
        <v>SMART</v>
      </c>
      <c r="R29" s="93"/>
      <c r="S29" s="93"/>
      <c r="T29" s="93"/>
      <c r="U29" s="93"/>
      <c r="V29" s="93"/>
      <c r="W29" s="28"/>
    </row>
    <row r="30" spans="1:27" ht="14" x14ac:dyDescent="0.3">
      <c r="A30" s="67">
        <f t="shared" si="0"/>
        <v>30</v>
      </c>
      <c r="B30" s="27"/>
      <c r="C30" s="44" t="str">
        <f>+'EMA R1'!C35</f>
        <v>Residential Assistance Adjustment Factor</v>
      </c>
      <c r="D30" s="86"/>
      <c r="E30" s="86"/>
      <c r="G30" s="92"/>
      <c r="H30" s="53">
        <v>6.0200000000000002E-3</v>
      </c>
      <c r="I30" s="53">
        <f t="shared" si="19"/>
        <v>6.0200000000000002E-3</v>
      </c>
      <c r="J30" s="53">
        <f t="shared" si="20"/>
        <v>6.0200000000000002E-3</v>
      </c>
      <c r="K30" s="37"/>
      <c r="L30" s="53">
        <f t="shared" si="21"/>
        <v>6.0200000000000002E-3</v>
      </c>
      <c r="M30" s="54">
        <f t="shared" si="22"/>
        <v>0</v>
      </c>
      <c r="N30" s="54"/>
      <c r="O30" s="54">
        <f t="shared" si="23"/>
        <v>0</v>
      </c>
      <c r="P30" s="54">
        <f t="shared" si="24"/>
        <v>0</v>
      </c>
      <c r="Q30" s="89" t="str">
        <f>+'EMA R1'!Q35</f>
        <v>RAAF</v>
      </c>
      <c r="R30" s="93"/>
      <c r="S30" s="93"/>
      <c r="T30" s="93"/>
      <c r="U30" s="93"/>
      <c r="V30" s="93"/>
      <c r="W30" s="28"/>
    </row>
    <row r="31" spans="1:27" ht="14" x14ac:dyDescent="0.3">
      <c r="A31" s="67">
        <f t="shared" si="0"/>
        <v>31</v>
      </c>
      <c r="B31" s="27"/>
      <c r="C31" s="44" t="str">
        <f>+'EMA R1'!C36</f>
        <v>Pension Adjustment Factor</v>
      </c>
      <c r="D31" s="37"/>
      <c r="E31" s="37"/>
      <c r="G31" s="92"/>
      <c r="H31" s="53">
        <v>5.8E-4</v>
      </c>
      <c r="I31" s="53">
        <f t="shared" si="19"/>
        <v>5.8E-4</v>
      </c>
      <c r="J31" s="53">
        <f t="shared" si="20"/>
        <v>5.8E-4</v>
      </c>
      <c r="K31" s="37"/>
      <c r="L31" s="53">
        <f t="shared" si="21"/>
        <v>5.8E-4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89" t="str">
        <f>+'EMA R1'!Q36</f>
        <v>PAF</v>
      </c>
      <c r="R31" s="93"/>
      <c r="S31" s="93"/>
      <c r="T31" s="93"/>
      <c r="U31" s="93"/>
      <c r="V31" s="93"/>
      <c r="W31" s="28"/>
    </row>
    <row r="32" spans="1:27" ht="14" x14ac:dyDescent="0.3">
      <c r="A32" s="67">
        <f t="shared" si="0"/>
        <v>32</v>
      </c>
      <c r="B32" s="27"/>
      <c r="C32" s="44" t="str">
        <f>+'EMA R1'!C37</f>
        <v>Net Metering Recovery Surcharge</v>
      </c>
      <c r="D32" s="86"/>
      <c r="E32" s="86"/>
      <c r="G32" s="92"/>
      <c r="H32" s="91">
        <v>1.197E-2</v>
      </c>
      <c r="I32" s="53">
        <f t="shared" si="19"/>
        <v>1.197E-2</v>
      </c>
      <c r="J32" s="53">
        <f t="shared" si="20"/>
        <v>1.197E-2</v>
      </c>
      <c r="K32" s="37"/>
      <c r="L32" s="53">
        <f t="shared" si="21"/>
        <v>1.197E-2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89" t="str">
        <f>+'EMA R1'!Q37</f>
        <v>NMRS</v>
      </c>
      <c r="R32" s="93"/>
      <c r="S32" s="93"/>
      <c r="T32" s="93"/>
      <c r="U32" s="93"/>
      <c r="V32" s="93"/>
      <c r="W32" s="28"/>
    </row>
    <row r="33" spans="1:23" ht="14" x14ac:dyDescent="0.3">
      <c r="A33" s="67">
        <f t="shared" si="0"/>
        <v>33</v>
      </c>
      <c r="B33" s="27"/>
      <c r="C33" s="44" t="str">
        <f>+'EMA R1'!C38</f>
        <v>Long Term Renewable Contract Adjustment</v>
      </c>
      <c r="D33" s="86"/>
      <c r="E33" s="86"/>
      <c r="G33" s="92"/>
      <c r="H33" s="53">
        <v>-1.9300000000000001E-3</v>
      </c>
      <c r="I33" s="53">
        <f t="shared" si="19"/>
        <v>-1.9300000000000001E-3</v>
      </c>
      <c r="J33" s="53">
        <f t="shared" si="20"/>
        <v>-1.9300000000000001E-3</v>
      </c>
      <c r="K33" s="37"/>
      <c r="L33" s="53">
        <f t="shared" si="21"/>
        <v>-1.9300000000000001E-3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89" t="str">
        <f>+'EMA R1'!Q38</f>
        <v>LTRCA</v>
      </c>
      <c r="R33" s="93"/>
      <c r="S33" s="93"/>
      <c r="T33" s="93"/>
      <c r="U33" s="93"/>
      <c r="V33" s="93"/>
      <c r="W33" s="28"/>
    </row>
    <row r="34" spans="1:23" ht="14" x14ac:dyDescent="0.3">
      <c r="A34" s="67">
        <f t="shared" si="0"/>
        <v>34</v>
      </c>
      <c r="B34" s="27"/>
      <c r="C34" s="44" t="str">
        <f>+'EMA R1'!C39</f>
        <v>AG Consulting Expense</v>
      </c>
      <c r="D34" s="86"/>
      <c r="E34" s="86"/>
      <c r="G34" s="92"/>
      <c r="H34" s="53">
        <v>4.0000000000000003E-5</v>
      </c>
      <c r="I34" s="53">
        <f t="shared" si="19"/>
        <v>4.0000000000000003E-5</v>
      </c>
      <c r="J34" s="53">
        <f t="shared" si="20"/>
        <v>4.0000000000000003E-5</v>
      </c>
      <c r="K34" s="37"/>
      <c r="L34" s="53">
        <f t="shared" si="21"/>
        <v>4.0000000000000003E-5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89" t="str">
        <f>+'EMA R1'!Q39</f>
        <v>AGCE</v>
      </c>
      <c r="R34" s="93"/>
      <c r="S34" s="93"/>
      <c r="T34" s="93"/>
      <c r="U34" s="93"/>
      <c r="V34" s="93"/>
      <c r="W34" s="28"/>
    </row>
    <row r="35" spans="1:23" ht="14" x14ac:dyDescent="0.3">
      <c r="A35" s="67">
        <f t="shared" si="0"/>
        <v>35</v>
      </c>
      <c r="B35" s="27"/>
      <c r="C35" s="44" t="str">
        <f>+'EMA R1'!C40</f>
        <v>Storm Cost Recovery Adjustment Factor</v>
      </c>
      <c r="D35" s="86"/>
      <c r="E35" s="86"/>
      <c r="G35" s="92"/>
      <c r="H35" s="53">
        <v>4.8900000000000002E-3</v>
      </c>
      <c r="I35" s="53">
        <f t="shared" si="19"/>
        <v>4.8900000000000002E-3</v>
      </c>
      <c r="J35" s="53">
        <f t="shared" si="20"/>
        <v>4.8900000000000002E-3</v>
      </c>
      <c r="K35" s="37"/>
      <c r="L35" s="53">
        <f t="shared" si="21"/>
        <v>4.8900000000000002E-3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89" t="str">
        <f>+'EMA R1'!Q40</f>
        <v>SCRA</v>
      </c>
      <c r="R35" s="93"/>
      <c r="S35" s="93"/>
      <c r="T35" s="93"/>
      <c r="U35" s="93"/>
      <c r="V35" s="93"/>
      <c r="W35" s="28"/>
    </row>
    <row r="36" spans="1:23" ht="14" x14ac:dyDescent="0.3">
      <c r="A36" s="67">
        <f t="shared" si="0"/>
        <v>36</v>
      </c>
      <c r="B36" s="27"/>
      <c r="C36" s="44" t="str">
        <f>+'EMA R1'!C41</f>
        <v>Storm Reserve Adjustment</v>
      </c>
      <c r="D36" s="86"/>
      <c r="E36" s="86"/>
      <c r="G36" s="92"/>
      <c r="H36" s="53">
        <v>0</v>
      </c>
      <c r="I36" s="53">
        <f t="shared" si="19"/>
        <v>0</v>
      </c>
      <c r="J36" s="53">
        <f t="shared" si="20"/>
        <v>0</v>
      </c>
      <c r="K36" s="37"/>
      <c r="L36" s="53">
        <f t="shared" si="21"/>
        <v>0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89" t="str">
        <f>+'EMA R1'!Q41</f>
        <v>SRA</v>
      </c>
      <c r="W36" s="28"/>
    </row>
    <row r="37" spans="1:23" ht="14" x14ac:dyDescent="0.3">
      <c r="A37" s="67">
        <f t="shared" si="0"/>
        <v>37</v>
      </c>
      <c r="B37" s="27"/>
      <c r="C37" s="44" t="str">
        <f>+'EMA R1'!C42</f>
        <v>Basic Service Cost True Up Factor</v>
      </c>
      <c r="D37" s="86"/>
      <c r="E37" s="86"/>
      <c r="G37" s="92"/>
      <c r="H37" s="53">
        <v>-3.4000000000000002E-4</v>
      </c>
      <c r="I37" s="53">
        <f t="shared" si="19"/>
        <v>-3.4000000000000002E-4</v>
      </c>
      <c r="J37" s="53">
        <f t="shared" si="20"/>
        <v>-3.4000000000000002E-4</v>
      </c>
      <c r="K37" s="37"/>
      <c r="L37" s="53">
        <f t="shared" si="21"/>
        <v>-3.4000000000000002E-4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89" t="str">
        <f>+'EMA R1'!Q42</f>
        <v>BSTF</v>
      </c>
      <c r="W37" s="28"/>
    </row>
    <row r="38" spans="1:23" ht="14" x14ac:dyDescent="0.3">
      <c r="A38" s="67">
        <f t="shared" si="0"/>
        <v>38</v>
      </c>
      <c r="B38" s="27"/>
      <c r="C38" s="44" t="str">
        <f>+'EMA R1'!C43</f>
        <v>Solar Program Cost Adjustment Factor</v>
      </c>
      <c r="D38" s="86"/>
      <c r="E38" s="86"/>
      <c r="G38" s="92"/>
      <c r="H38" s="53">
        <v>1.0000000000000001E-5</v>
      </c>
      <c r="I38" s="53">
        <f t="shared" si="19"/>
        <v>1.0000000000000001E-5</v>
      </c>
      <c r="J38" s="53">
        <f t="shared" si="20"/>
        <v>1.0000000000000001E-5</v>
      </c>
      <c r="K38" s="37"/>
      <c r="L38" s="53">
        <f t="shared" si="21"/>
        <v>1.0000000000000001E-5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89" t="str">
        <f>+'EMA R1'!Q43</f>
        <v>SPCA</v>
      </c>
      <c r="W38" s="28"/>
    </row>
    <row r="39" spans="1:23" ht="14" x14ac:dyDescent="0.3">
      <c r="A39" s="67">
        <f t="shared" si="0"/>
        <v>39</v>
      </c>
      <c r="B39" s="27"/>
      <c r="C39" s="44" t="str">
        <f>+'EMA R1'!C44</f>
        <v>Solar Expansion Cost Recovery Factor</v>
      </c>
      <c r="D39" s="37"/>
      <c r="E39" s="37"/>
      <c r="G39" s="53"/>
      <c r="H39" s="53">
        <v>-3.6999999999999999E-4</v>
      </c>
      <c r="I39" s="53">
        <f t="shared" si="19"/>
        <v>-3.6999999999999999E-4</v>
      </c>
      <c r="J39" s="53">
        <f t="shared" si="20"/>
        <v>-3.6999999999999999E-4</v>
      </c>
      <c r="K39" s="37"/>
      <c r="L39" s="53">
        <f t="shared" si="21"/>
        <v>-3.6999999999999999E-4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89" t="str">
        <f>+'EMA R1'!Q44</f>
        <v>SECRF</v>
      </c>
    </row>
    <row r="40" spans="1:23" ht="14" x14ac:dyDescent="0.3">
      <c r="A40" s="67">
        <f t="shared" si="0"/>
        <v>40</v>
      </c>
      <c r="B40" s="27"/>
      <c r="C40" s="44" t="str">
        <f>+'EMA R1'!C45</f>
        <v>Vegetation Management</v>
      </c>
      <c r="D40" s="37"/>
      <c r="E40" s="37"/>
      <c r="G40" s="53"/>
      <c r="H40" s="53">
        <v>1.2999999999999999E-3</v>
      </c>
      <c r="I40" s="53">
        <f t="shared" si="19"/>
        <v>1.2999999999999999E-3</v>
      </c>
      <c r="J40" s="53">
        <f t="shared" si="20"/>
        <v>1.2999999999999999E-3</v>
      </c>
      <c r="K40" s="37"/>
      <c r="L40" s="53">
        <f t="shared" si="21"/>
        <v>1.2999999999999999E-3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89" t="str">
        <f>+'EMA R1'!Q45</f>
        <v>RTWF</v>
      </c>
    </row>
    <row r="41" spans="1:23" ht="14" x14ac:dyDescent="0.3">
      <c r="A41" s="67">
        <f t="shared" si="0"/>
        <v>41</v>
      </c>
      <c r="B41" s="27"/>
      <c r="C41" s="44" t="str">
        <f>+'EMA R1'!C46</f>
        <v>Tax Act Credit Factor</v>
      </c>
      <c r="D41" s="86"/>
      <c r="E41" s="86"/>
      <c r="G41" s="92"/>
      <c r="H41" s="53">
        <v>-1.33E-3</v>
      </c>
      <c r="I41" s="53">
        <f t="shared" si="19"/>
        <v>-1.33E-3</v>
      </c>
      <c r="J41" s="53">
        <f t="shared" si="20"/>
        <v>-1.33E-3</v>
      </c>
      <c r="K41" s="37"/>
      <c r="L41" s="53">
        <f t="shared" si="21"/>
        <v>-1.33E-3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89" t="str">
        <f>+'EMA R1'!Q46</f>
        <v>TACF</v>
      </c>
      <c r="W41" s="28"/>
    </row>
    <row r="42" spans="1:23" ht="14" x14ac:dyDescent="0.3">
      <c r="A42" s="67">
        <f t="shared" si="0"/>
        <v>42</v>
      </c>
      <c r="B42" s="27"/>
      <c r="C42" s="44" t="str">
        <f>+'EMA R1'!C47</f>
        <v>Grid Modernization</v>
      </c>
      <c r="D42" s="86"/>
      <c r="E42" s="86"/>
      <c r="G42" s="90"/>
      <c r="H42" s="53">
        <v>1.65E-3</v>
      </c>
      <c r="I42" s="53">
        <f t="shared" si="19"/>
        <v>1.65E-3</v>
      </c>
      <c r="J42" s="53">
        <f t="shared" si="20"/>
        <v>1.65E-3</v>
      </c>
      <c r="K42" s="37"/>
      <c r="L42" s="53">
        <f t="shared" si="21"/>
        <v>1.65E-3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89" t="str">
        <f>+'EMA R1'!Q47</f>
        <v>GMOD</v>
      </c>
      <c r="W42" s="28"/>
    </row>
    <row r="43" spans="1:23" ht="14" x14ac:dyDescent="0.3">
      <c r="A43" s="67">
        <f t="shared" si="0"/>
        <v>43</v>
      </c>
      <c r="B43" s="27"/>
      <c r="C43" s="44" t="str">
        <f>+'EMA R1'!C48</f>
        <v>Advanced Metering Infrastructure</v>
      </c>
      <c r="D43" s="86"/>
      <c r="E43" s="86"/>
      <c r="G43" s="90"/>
      <c r="H43" s="53">
        <v>2.1900000000000001E-3</v>
      </c>
      <c r="I43" s="53">
        <f t="shared" si="19"/>
        <v>2.1900000000000001E-3</v>
      </c>
      <c r="J43" s="53">
        <f t="shared" si="20"/>
        <v>2.1900000000000001E-3</v>
      </c>
      <c r="K43" s="37"/>
      <c r="L43" s="53">
        <f t="shared" si="21"/>
        <v>2.1900000000000001E-3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89" t="str">
        <f>+'EMA R1'!Q48</f>
        <v>AMIF</v>
      </c>
      <c r="W43" s="28"/>
    </row>
    <row r="44" spans="1:23" ht="14" x14ac:dyDescent="0.3">
      <c r="A44" s="67">
        <f t="shared" si="0"/>
        <v>44</v>
      </c>
      <c r="B44" s="27"/>
      <c r="C44" s="44" t="str">
        <f>+'EMA R1'!C49</f>
        <v>Electronic Payment Recovery</v>
      </c>
      <c r="D44" s="86"/>
      <c r="E44" s="86"/>
      <c r="G44" s="90"/>
      <c r="H44" s="53">
        <v>0</v>
      </c>
      <c r="I44" s="53">
        <f t="shared" si="19"/>
        <v>0</v>
      </c>
      <c r="J44" s="53">
        <f t="shared" si="20"/>
        <v>0</v>
      </c>
      <c r="K44" s="37"/>
      <c r="L44" s="53">
        <f t="shared" si="21"/>
        <v>0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89" t="str">
        <f>+'EMA R1'!Q49</f>
        <v>EPR</v>
      </c>
      <c r="W44" s="28"/>
    </row>
    <row r="45" spans="1:23" ht="14" x14ac:dyDescent="0.3">
      <c r="A45" s="67">
        <f t="shared" si="0"/>
        <v>45</v>
      </c>
      <c r="B45" s="27"/>
      <c r="C45" s="44" t="str">
        <f>+'EMA R1'!C50</f>
        <v>Provisional System Planning Factor</v>
      </c>
      <c r="D45" s="86"/>
      <c r="E45" s="86"/>
      <c r="G45" s="90"/>
      <c r="H45" s="91">
        <v>0</v>
      </c>
      <c r="I45" s="53">
        <f t="shared" si="19"/>
        <v>0</v>
      </c>
      <c r="J45" s="53">
        <f t="shared" si="20"/>
        <v>0</v>
      </c>
      <c r="K45" s="37"/>
      <c r="L45" s="53">
        <f t="shared" si="21"/>
        <v>0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89" t="str">
        <f>+'EMA R1'!Q50</f>
        <v>PSPF</v>
      </c>
      <c r="W45" s="28"/>
    </row>
    <row r="46" spans="1:23" ht="14" x14ac:dyDescent="0.3">
      <c r="A46" s="67">
        <f t="shared" si="0"/>
        <v>46</v>
      </c>
      <c r="B46" s="27"/>
      <c r="C46" s="44" t="str">
        <f>+'EMA R1'!C51</f>
        <v>Electric Vehicle Factor</v>
      </c>
      <c r="D46" s="86"/>
      <c r="E46" s="86"/>
      <c r="G46" s="90"/>
      <c r="H46" s="91">
        <v>1.0300000000000001E-3</v>
      </c>
      <c r="I46" s="53">
        <f t="shared" si="19"/>
        <v>1.0300000000000001E-3</v>
      </c>
      <c r="J46" s="53">
        <f t="shared" si="20"/>
        <v>1.0300000000000001E-3</v>
      </c>
      <c r="K46" s="37"/>
      <c r="L46" s="53">
        <f t="shared" si="21"/>
        <v>1.0300000000000001E-3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89" t="str">
        <f>+'EMA R1'!Q51</f>
        <v>EVF</v>
      </c>
      <c r="W46" s="28"/>
    </row>
    <row r="47" spans="1:23" ht="14" x14ac:dyDescent="0.3">
      <c r="A47" s="67">
        <f t="shared" si="0"/>
        <v>47</v>
      </c>
      <c r="B47" s="27"/>
      <c r="C47" s="44" t="str">
        <f>+'EMA R1'!C52</f>
        <v>Transition</v>
      </c>
      <c r="D47" s="37"/>
      <c r="E47" s="37"/>
      <c r="G47" s="90"/>
      <c r="H47" s="91">
        <v>-3.6999999999999999E-4</v>
      </c>
      <c r="I47" s="53">
        <f t="shared" si="19"/>
        <v>-3.6999999999999999E-4</v>
      </c>
      <c r="J47" s="53">
        <f t="shared" si="20"/>
        <v>-3.6999999999999999E-4</v>
      </c>
      <c r="K47" s="37"/>
      <c r="L47" s="53">
        <f t="shared" si="21"/>
        <v>-3.6999999999999999E-4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89" t="str">
        <f>+'EMA R1'!Q52</f>
        <v>TRNSN</v>
      </c>
      <c r="W47" s="28"/>
    </row>
    <row r="48" spans="1:23" ht="14" x14ac:dyDescent="0.3">
      <c r="A48" s="67">
        <f t="shared" si="0"/>
        <v>48</v>
      </c>
      <c r="B48" s="27"/>
      <c r="C48" s="28" t="s">
        <v>103</v>
      </c>
      <c r="D48" s="86"/>
      <c r="E48" s="86"/>
      <c r="G48" s="90"/>
      <c r="H48" s="91">
        <v>4.3999999999999997E-2</v>
      </c>
      <c r="I48" s="53">
        <f t="shared" si="19"/>
        <v>4.3999999999999997E-2</v>
      </c>
      <c r="J48" s="53">
        <f t="shared" si="20"/>
        <v>4.3999999999999997E-2</v>
      </c>
      <c r="K48" s="37"/>
      <c r="L48" s="53">
        <f t="shared" si="21"/>
        <v>4.3999999999999997E-2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51" t="s">
        <v>104</v>
      </c>
      <c r="W48" s="28"/>
    </row>
    <row r="49" spans="1:23" ht="14" x14ac:dyDescent="0.3">
      <c r="A49" s="67">
        <f t="shared" si="0"/>
        <v>49</v>
      </c>
      <c r="B49" s="27"/>
      <c r="C49" s="28" t="s">
        <v>105</v>
      </c>
      <c r="D49" s="86"/>
      <c r="E49" s="86"/>
      <c r="G49" s="90"/>
      <c r="H49" s="91">
        <v>-8.1300000000000001E-3</v>
      </c>
      <c r="I49" s="53">
        <v>1.038E-2</v>
      </c>
      <c r="J49" s="53">
        <v>1.333E-2</v>
      </c>
      <c r="K49" s="53"/>
      <c r="L49" s="53">
        <v>1.3129999999999999E-2</v>
      </c>
      <c r="M49" s="54">
        <f t="shared" si="22"/>
        <v>1.8509999999999999E-2</v>
      </c>
      <c r="N49" s="54"/>
      <c r="O49" s="54">
        <f t="shared" si="23"/>
        <v>2.9499999999999995E-3</v>
      </c>
      <c r="P49" s="54">
        <f t="shared" si="24"/>
        <v>-2.0000000000000052E-4</v>
      </c>
      <c r="Q49" s="89" t="s">
        <v>106</v>
      </c>
      <c r="W49" s="28"/>
    </row>
    <row r="50" spans="1:23" ht="14" x14ac:dyDescent="0.3">
      <c r="A50" s="67">
        <f t="shared" si="0"/>
        <v>50</v>
      </c>
      <c r="B50" s="27"/>
      <c r="C50" s="28" t="s">
        <v>107</v>
      </c>
      <c r="D50" s="86"/>
      <c r="E50" s="86"/>
      <c r="G50" s="90"/>
      <c r="H50" s="91">
        <v>2.5000000000000001E-3</v>
      </c>
      <c r="I50" s="53">
        <f t="shared" si="19"/>
        <v>2.5000000000000001E-3</v>
      </c>
      <c r="J50" s="53">
        <f t="shared" si="20"/>
        <v>2.5000000000000001E-3</v>
      </c>
      <c r="K50" s="37"/>
      <c r="L50" s="53">
        <f t="shared" si="21"/>
        <v>2.5000000000000001E-3</v>
      </c>
      <c r="M50" s="54">
        <f t="shared" si="22"/>
        <v>0</v>
      </c>
      <c r="N50" s="54"/>
      <c r="O50" s="54">
        <f t="shared" si="23"/>
        <v>0</v>
      </c>
      <c r="P50" s="54">
        <f t="shared" si="24"/>
        <v>0</v>
      </c>
      <c r="Q50" s="89" t="s">
        <v>108</v>
      </c>
      <c r="R50" s="28"/>
      <c r="S50" s="28"/>
      <c r="T50" s="28"/>
      <c r="U50" s="28"/>
      <c r="V50" s="28"/>
    </row>
    <row r="51" spans="1:23" ht="14" x14ac:dyDescent="0.3">
      <c r="A51" s="67">
        <f t="shared" si="0"/>
        <v>51</v>
      </c>
      <c r="C51" s="28" t="s">
        <v>109</v>
      </c>
      <c r="D51" s="37"/>
      <c r="E51" s="37"/>
      <c r="G51" s="55"/>
      <c r="H51" s="91">
        <v>5.0000000000000001E-4</v>
      </c>
      <c r="I51" s="53">
        <f t="shared" si="19"/>
        <v>5.0000000000000001E-4</v>
      </c>
      <c r="J51" s="53">
        <f t="shared" si="20"/>
        <v>5.0000000000000001E-4</v>
      </c>
      <c r="K51" s="37"/>
      <c r="L51" s="53">
        <f t="shared" si="21"/>
        <v>5.0000000000000001E-4</v>
      </c>
      <c r="M51" s="54">
        <f t="shared" si="22"/>
        <v>0</v>
      </c>
      <c r="N51" s="54"/>
      <c r="O51" s="54">
        <f t="shared" si="23"/>
        <v>0</v>
      </c>
      <c r="P51" s="54">
        <f t="shared" si="24"/>
        <v>0</v>
      </c>
      <c r="Q51" s="89" t="s">
        <v>110</v>
      </c>
    </row>
    <row r="52" spans="1:23" ht="14" x14ac:dyDescent="0.3">
      <c r="A52" s="67">
        <f t="shared" si="0"/>
        <v>52</v>
      </c>
      <c r="C52" s="28" t="s">
        <v>111</v>
      </c>
      <c r="D52" s="37"/>
      <c r="E52" s="37"/>
      <c r="G52" s="55"/>
      <c r="H52" s="53">
        <v>0.13982</v>
      </c>
      <c r="I52" s="53">
        <f t="shared" si="19"/>
        <v>0.13982</v>
      </c>
      <c r="J52" s="53">
        <f t="shared" si="20"/>
        <v>0.13982</v>
      </c>
      <c r="K52" s="37"/>
      <c r="L52" s="53">
        <f t="shared" si="21"/>
        <v>0.13982</v>
      </c>
      <c r="M52" s="54">
        <f t="shared" si="22"/>
        <v>0</v>
      </c>
      <c r="N52" s="54"/>
      <c r="O52" s="54">
        <f t="shared" si="23"/>
        <v>0</v>
      </c>
      <c r="P52" s="54">
        <f t="shared" si="24"/>
        <v>0</v>
      </c>
      <c r="Q52" s="89" t="s">
        <v>112</v>
      </c>
    </row>
    <row r="53" spans="1:23" ht="14" x14ac:dyDescent="0.3">
      <c r="A53" s="67"/>
      <c r="C53" s="28"/>
      <c r="D53" s="37"/>
      <c r="E53" s="37"/>
      <c r="G53" s="55"/>
      <c r="H53" s="55"/>
      <c r="I53" s="55"/>
      <c r="J53" s="94"/>
      <c r="K53" s="37"/>
      <c r="L53" s="37"/>
    </row>
    <row r="54" spans="1:23" ht="14" x14ac:dyDescent="0.3">
      <c r="A54" s="67"/>
      <c r="C54" s="28" t="s">
        <v>58</v>
      </c>
      <c r="D54" s="37"/>
      <c r="E54" s="37"/>
      <c r="G54" s="87"/>
      <c r="H54" s="88">
        <f>+H25</f>
        <v>20</v>
      </c>
      <c r="I54" s="88">
        <f>+I25</f>
        <v>20</v>
      </c>
      <c r="J54" s="88">
        <f>+J25</f>
        <v>20</v>
      </c>
      <c r="K54" s="37"/>
      <c r="L54" s="88">
        <f>+L25</f>
        <v>20</v>
      </c>
    </row>
    <row r="55" spans="1:23" ht="14" x14ac:dyDescent="0.3">
      <c r="A55" s="67"/>
      <c r="C55" s="28" t="s">
        <v>122</v>
      </c>
      <c r="D55" s="37"/>
      <c r="E55" s="37"/>
      <c r="G55" s="55"/>
      <c r="H55" s="55">
        <f>SUM(H26:H51)</f>
        <v>0.10159</v>
      </c>
      <c r="I55" s="55">
        <f>SUM(I26:I51)</f>
        <v>0.1201</v>
      </c>
      <c r="J55" s="55">
        <f>SUM(J26:J51)</f>
        <v>0.12304999999999999</v>
      </c>
      <c r="K55" s="37"/>
      <c r="L55" s="55">
        <f>SUM(L26:L51)</f>
        <v>0.12285</v>
      </c>
    </row>
    <row r="56" spans="1:23" ht="14" x14ac:dyDescent="0.3">
      <c r="A56" s="67"/>
      <c r="C56" s="28" t="s">
        <v>123</v>
      </c>
      <c r="D56" s="37"/>
      <c r="E56" s="37"/>
      <c r="G56" s="55"/>
      <c r="H56" s="55">
        <f>+H52</f>
        <v>0.13982</v>
      </c>
      <c r="I56" s="55">
        <f>+I52</f>
        <v>0.13982</v>
      </c>
      <c r="J56" s="55">
        <f>+J52</f>
        <v>0.13982</v>
      </c>
      <c r="K56" s="37"/>
      <c r="L56" s="55">
        <f>+L52</f>
        <v>0.13982</v>
      </c>
    </row>
    <row r="57" spans="1:23" ht="14" x14ac:dyDescent="0.3">
      <c r="D57" s="37"/>
      <c r="E57" s="37"/>
      <c r="F57" s="55"/>
      <c r="G57" s="55"/>
      <c r="H57" s="55"/>
      <c r="I57" s="55"/>
      <c r="J57" s="37"/>
      <c r="K57" s="37"/>
      <c r="L57" s="37"/>
    </row>
    <row r="58" spans="1:23" ht="14" x14ac:dyDescent="0.3">
      <c r="D58" s="37"/>
      <c r="E58" s="37"/>
      <c r="F58" s="37"/>
      <c r="G58" s="37"/>
      <c r="H58" s="37"/>
      <c r="I58" s="37"/>
      <c r="J58" s="37"/>
      <c r="K58" s="37"/>
      <c r="L58" s="37"/>
    </row>
    <row r="59" spans="1:23" ht="14" x14ac:dyDescent="0.3">
      <c r="D59" s="37"/>
      <c r="E59" s="37"/>
      <c r="F59" s="37"/>
      <c r="G59" s="37"/>
      <c r="H59" s="37"/>
      <c r="I59" s="37"/>
      <c r="J59" s="37"/>
      <c r="K59" s="37"/>
      <c r="L59" s="37"/>
    </row>
    <row r="106" spans="3:22" x14ac:dyDescent="0.3">
      <c r="C106" s="95"/>
    </row>
    <row r="107" spans="3:22" ht="14" x14ac:dyDescent="0.3">
      <c r="C107" s="96"/>
      <c r="D107" s="97"/>
      <c r="E107" s="97"/>
      <c r="F107" s="97"/>
      <c r="G107" s="97"/>
      <c r="H107" s="97"/>
      <c r="I107" s="97"/>
      <c r="J107" s="97"/>
      <c r="K107" s="97"/>
      <c r="L107" s="97"/>
      <c r="M107" s="98"/>
      <c r="N107" s="98"/>
      <c r="O107" s="98"/>
      <c r="P107" s="98"/>
      <c r="Q107" s="98"/>
      <c r="R107" s="98"/>
      <c r="S107" s="98"/>
      <c r="T107" s="98"/>
      <c r="U107" s="98"/>
      <c r="V107" s="98"/>
    </row>
    <row r="109" spans="3:22" ht="14" x14ac:dyDescent="0.3">
      <c r="C109" s="96"/>
      <c r="D109" s="97"/>
      <c r="E109" s="97"/>
      <c r="F109" s="97"/>
      <c r="G109" s="97"/>
      <c r="H109" s="97"/>
      <c r="I109" s="97"/>
      <c r="J109" s="97"/>
      <c r="K109" s="97"/>
      <c r="L109" s="97"/>
      <c r="M109" s="98"/>
      <c r="N109" s="98"/>
      <c r="O109" s="98"/>
      <c r="P109" s="98"/>
      <c r="Q109" s="98"/>
      <c r="R109" s="98"/>
      <c r="S109" s="98"/>
      <c r="T109" s="98"/>
      <c r="U109" s="98"/>
      <c r="V109" s="98"/>
    </row>
  </sheetData>
  <mergeCells count="7">
    <mergeCell ref="Z10:AA10"/>
    <mergeCell ref="D10:F10"/>
    <mergeCell ref="H10:J10"/>
    <mergeCell ref="L10:M10"/>
    <mergeCell ref="O10:Q10"/>
    <mergeCell ref="S10:T10"/>
    <mergeCell ref="V10:X10"/>
  </mergeCells>
  <pageMargins left="0.7" right="0.7" top="0.75" bottom="0.75" header="0.3" footer="0.3"/>
  <pageSetup scale="36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F334-A843-4925-AF83-42B99C7A9B2E}">
  <sheetPr>
    <tabColor theme="3" tint="0.59999389629810485"/>
    <pageSetUpPr fitToPage="1"/>
  </sheetPr>
  <dimension ref="A1:AD264"/>
  <sheetViews>
    <sheetView zoomScaleNormal="100" workbookViewId="0"/>
  </sheetViews>
  <sheetFormatPr defaultColWidth="8.7265625" defaultRowHeight="13" x14ac:dyDescent="0.3"/>
  <cols>
    <col min="1" max="1" width="4" style="68" customWidth="1"/>
    <col min="2" max="2" width="4.453125" style="68" bestFit="1" customWidth="1"/>
    <col min="3" max="3" width="12" style="68" customWidth="1"/>
    <col min="4" max="4" width="16.54296875" style="68" bestFit="1" customWidth="1"/>
    <col min="5" max="7" width="12" style="68" customWidth="1"/>
    <col min="8" max="8" width="2" style="68" customWidth="1"/>
    <col min="9" max="11" width="12" style="68" customWidth="1"/>
    <col min="12" max="12" width="2" style="68" customWidth="1"/>
    <col min="13" max="14" width="12" style="68" customWidth="1"/>
    <col min="15" max="15" width="2" style="68" customWidth="1"/>
    <col min="16" max="18" width="12" style="68" customWidth="1"/>
    <col min="19" max="19" width="2" style="68" customWidth="1"/>
    <col min="20" max="21" width="12" style="68" customWidth="1"/>
    <col min="22" max="22" width="2" style="68" customWidth="1"/>
    <col min="23" max="25" width="12" style="68" customWidth="1"/>
    <col min="26" max="26" width="2" style="68" customWidth="1"/>
    <col min="27" max="28" width="12" style="68" customWidth="1"/>
    <col min="29" max="16384" width="8.7265625" style="68"/>
  </cols>
  <sheetData>
    <row r="1" spans="1:30" ht="14" x14ac:dyDescent="0.3">
      <c r="A1" s="67">
        <v>1</v>
      </c>
      <c r="C1" s="69"/>
      <c r="D1" s="69"/>
      <c r="E1" s="99"/>
      <c r="F1" s="99"/>
      <c r="G1" s="70"/>
      <c r="H1" s="100"/>
    </row>
    <row r="2" spans="1:30" ht="14" x14ac:dyDescent="0.3">
      <c r="A2" s="67">
        <f>A1+1</f>
        <v>2</v>
      </c>
      <c r="C2" s="70"/>
      <c r="D2" s="70"/>
      <c r="E2" s="101"/>
      <c r="F2" s="99"/>
      <c r="G2" s="70"/>
      <c r="H2" s="100"/>
    </row>
    <row r="3" spans="1:30" ht="14" x14ac:dyDescent="0.3">
      <c r="A3" s="67">
        <f t="shared" ref="A3:A66" si="0">A2+1</f>
        <v>3</v>
      </c>
      <c r="B3" s="24" t="s">
        <v>115</v>
      </c>
      <c r="E3" s="102"/>
      <c r="G3" s="70"/>
      <c r="H3" s="100"/>
    </row>
    <row r="4" spans="1:30" ht="14" x14ac:dyDescent="0.3">
      <c r="A4" s="67">
        <f t="shared" si="0"/>
        <v>4</v>
      </c>
      <c r="B4" s="24" t="s">
        <v>41</v>
      </c>
      <c r="E4" s="101"/>
      <c r="F4" s="101"/>
      <c r="G4" s="101"/>
      <c r="H4" s="29"/>
      <c r="I4" s="101"/>
    </row>
    <row r="5" spans="1:30" ht="14" x14ac:dyDescent="0.3">
      <c r="A5" s="67">
        <f t="shared" si="0"/>
        <v>5</v>
      </c>
      <c r="B5" s="24"/>
      <c r="E5" s="101"/>
      <c r="F5" s="101"/>
      <c r="G5" s="101"/>
      <c r="H5" s="29"/>
      <c r="I5" s="101"/>
    </row>
    <row r="6" spans="1:30" ht="14" x14ac:dyDescent="0.3">
      <c r="A6" s="67">
        <f t="shared" si="0"/>
        <v>6</v>
      </c>
      <c r="B6" s="24" t="s">
        <v>124</v>
      </c>
      <c r="E6" s="101"/>
      <c r="F6" s="101"/>
      <c r="G6" s="101"/>
      <c r="H6" s="29"/>
      <c r="I6" s="101"/>
    </row>
    <row r="7" spans="1:30" ht="14" x14ac:dyDescent="0.3">
      <c r="A7" s="67">
        <f t="shared" si="0"/>
        <v>7</v>
      </c>
      <c r="B7" s="67"/>
      <c r="E7" s="101"/>
      <c r="F7" s="101"/>
      <c r="G7" s="101"/>
      <c r="H7" s="29"/>
      <c r="I7" s="101"/>
    </row>
    <row r="8" spans="1:30" ht="14" x14ac:dyDescent="0.3">
      <c r="A8" s="67">
        <f t="shared" si="0"/>
        <v>8</v>
      </c>
      <c r="B8" s="28"/>
      <c r="E8" s="101"/>
      <c r="G8" s="101"/>
      <c r="H8" s="103"/>
      <c r="I8" s="101"/>
    </row>
    <row r="9" spans="1:30" ht="14" x14ac:dyDescent="0.3">
      <c r="A9" s="67">
        <f t="shared" si="0"/>
        <v>9</v>
      </c>
      <c r="B9" s="101"/>
      <c r="E9" s="101"/>
      <c r="F9" s="101"/>
      <c r="G9" s="101"/>
      <c r="H9" s="103"/>
      <c r="I9" s="101"/>
    </row>
    <row r="10" spans="1:30" ht="14" x14ac:dyDescent="0.3">
      <c r="A10" s="67">
        <f t="shared" si="0"/>
        <v>10</v>
      </c>
      <c r="B10" s="27"/>
      <c r="C10" s="27" t="str">
        <f>+'WMA 23'!C10</f>
        <v>Monthly</v>
      </c>
      <c r="D10" s="27" t="s">
        <v>2</v>
      </c>
      <c r="E10" s="32" t="str">
        <f>'EMA R1'!D10</f>
        <v>2024 Monthly Bill</v>
      </c>
      <c r="F10" s="32"/>
      <c r="G10" s="32"/>
      <c r="H10" s="33"/>
      <c r="I10" s="32" t="str">
        <f>'EMA R1'!H10</f>
        <v>2025 Illustrative Monthly Bill</v>
      </c>
      <c r="J10" s="32"/>
      <c r="K10" s="32"/>
      <c r="L10" s="23"/>
      <c r="M10" s="32" t="str">
        <f>'EMA R1'!L10</f>
        <v>2025 vs. 2024</v>
      </c>
      <c r="N10" s="32"/>
      <c r="O10" s="27"/>
      <c r="P10" s="32" t="str">
        <f>'EMA R1'!O10</f>
        <v>2026 Illustrative Monthly Bill</v>
      </c>
      <c r="Q10" s="32"/>
      <c r="R10" s="32"/>
      <c r="S10" s="33"/>
      <c r="T10" s="32" t="str">
        <f>'EMA R1'!S10</f>
        <v>2026 vs. 2025</v>
      </c>
      <c r="U10" s="32"/>
      <c r="V10" s="23"/>
      <c r="W10" s="32" t="str">
        <f>'EMA R1'!V10</f>
        <v>2027 Illustrative Monthly Bill</v>
      </c>
      <c r="X10" s="32"/>
      <c r="Y10" s="32"/>
      <c r="Z10" s="33"/>
      <c r="AA10" s="32" t="str">
        <f>'EMA R1'!Z10</f>
        <v>2027 vs. 2026</v>
      </c>
      <c r="AB10" s="32"/>
      <c r="AC10" s="101"/>
    </row>
    <row r="11" spans="1:30" ht="14" x14ac:dyDescent="0.3">
      <c r="A11" s="67">
        <f t="shared" si="0"/>
        <v>11</v>
      </c>
      <c r="B11" s="27"/>
      <c r="C11" s="34" t="s">
        <v>125</v>
      </c>
      <c r="D11" s="34" t="str">
        <f>+'WMA 23'!C11</f>
        <v xml:space="preserve">kWh </v>
      </c>
      <c r="E11" s="34" t="s">
        <v>48</v>
      </c>
      <c r="F11" s="34" t="s">
        <v>49</v>
      </c>
      <c r="G11" s="34" t="s">
        <v>50</v>
      </c>
      <c r="H11" s="34"/>
      <c r="I11" s="34" t="s">
        <v>48</v>
      </c>
      <c r="J11" s="34" t="s">
        <v>49</v>
      </c>
      <c r="K11" s="34" t="s">
        <v>50</v>
      </c>
      <c r="L11" s="23"/>
      <c r="M11" s="34" t="s">
        <v>51</v>
      </c>
      <c r="N11" s="34" t="s">
        <v>14</v>
      </c>
      <c r="O11" s="34"/>
      <c r="P11" s="34" t="s">
        <v>48</v>
      </c>
      <c r="Q11" s="34" t="s">
        <v>49</v>
      </c>
      <c r="R11" s="34" t="s">
        <v>50</v>
      </c>
      <c r="S11" s="34"/>
      <c r="T11" s="34" t="s">
        <v>51</v>
      </c>
      <c r="U11" s="34" t="s">
        <v>14</v>
      </c>
      <c r="V11" s="23"/>
      <c r="W11" s="34" t="s">
        <v>48</v>
      </c>
      <c r="X11" s="34" t="s">
        <v>49</v>
      </c>
      <c r="Y11" s="34" t="s">
        <v>50</v>
      </c>
      <c r="Z11" s="34"/>
      <c r="AA11" s="34" t="s">
        <v>51</v>
      </c>
      <c r="AB11" s="34" t="s">
        <v>14</v>
      </c>
    </row>
    <row r="12" spans="1:30" ht="14" x14ac:dyDescent="0.3">
      <c r="A12" s="67">
        <f t="shared" si="0"/>
        <v>12</v>
      </c>
      <c r="B12" s="101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Z12" s="34"/>
    </row>
    <row r="13" spans="1:30" ht="14" x14ac:dyDescent="0.3">
      <c r="A13" s="67">
        <f t="shared" si="0"/>
        <v>13</v>
      </c>
      <c r="B13" s="27"/>
      <c r="C13" s="101" t="s">
        <v>126</v>
      </c>
      <c r="D13" s="104">
        <v>70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Z13" s="34"/>
    </row>
    <row r="14" spans="1:30" ht="14" x14ac:dyDescent="0.3">
      <c r="A14" s="67">
        <f t="shared" si="0"/>
        <v>14</v>
      </c>
      <c r="B14" s="27"/>
      <c r="C14" s="105">
        <v>3</v>
      </c>
      <c r="D14" s="106">
        <f t="shared" ref="D14:D20" si="1">C14*$D$13</f>
        <v>210</v>
      </c>
      <c r="E14" s="36">
        <f>ROUND($G$75+$G$78*$D14+IF($C14&gt;2,($C14-2)*$G$77+2*$G$76,$C14*$G$76),2)</f>
        <v>85.12</v>
      </c>
      <c r="F14" s="36">
        <f>($G$79*$D14)</f>
        <v>29.362200000000001</v>
      </c>
      <c r="G14" s="36">
        <f>SUM(E14:F14)</f>
        <v>114.48220000000001</v>
      </c>
      <c r="H14" s="36"/>
      <c r="I14" s="36">
        <f>ROUND($I$75+$I$78*$D14+IF($C14&gt;2,($C14-2)*$I$77+2*$I$76,$C14*$I$76),2)</f>
        <v>89.01</v>
      </c>
      <c r="J14" s="36">
        <f>($I$79*$D14)</f>
        <v>29.362200000000001</v>
      </c>
      <c r="K14" s="36">
        <f>SUM(I14:J14)</f>
        <v>118.37220000000001</v>
      </c>
      <c r="L14" s="37"/>
      <c r="M14" s="36">
        <f t="shared" ref="M14:M20" si="2">K14-G14</f>
        <v>3.8900000000000006</v>
      </c>
      <c r="N14" s="107">
        <f t="shared" ref="N14:N20" si="3">M14/G14</f>
        <v>3.3979081464192692E-2</v>
      </c>
      <c r="O14" s="39"/>
      <c r="P14" s="36">
        <f>ROUND($J$75+$J$78*$D14+IF($C14&gt;2,($C14-2)*$J$77+2*$J$76,$C14*$J$76),2)</f>
        <v>89.63</v>
      </c>
      <c r="Q14" s="36">
        <f>($J$79*$D14)</f>
        <v>29.362200000000001</v>
      </c>
      <c r="R14" s="36">
        <f>SUM(P14:Q14)</f>
        <v>118.9922</v>
      </c>
      <c r="S14" s="36"/>
      <c r="T14" s="36">
        <f>R14-K14</f>
        <v>0.61999999999999034</v>
      </c>
      <c r="U14" s="107">
        <f>T14/K14</f>
        <v>5.2377162881148643E-3</v>
      </c>
      <c r="V14" s="23"/>
      <c r="W14" s="36">
        <f>ROUND($K$75+$K$78*$D14+IF($C14&gt;2,($C14-2)*$K$77+2*$K$76,$C14*$K$76),2)</f>
        <v>89.59</v>
      </c>
      <c r="X14" s="36">
        <f>($K$79*$D14)</f>
        <v>29.362200000000001</v>
      </c>
      <c r="Y14" s="36">
        <f>SUM(W14:X14)</f>
        <v>118.9522</v>
      </c>
      <c r="Z14" s="36"/>
      <c r="AA14" s="36">
        <f>Y14-R14</f>
        <v>-3.9999999999992042E-2</v>
      </c>
      <c r="AB14" s="107">
        <f>AA14/R14</f>
        <v>-3.3615648756802583E-4</v>
      </c>
      <c r="AC14" s="108"/>
      <c r="AD14" s="109"/>
    </row>
    <row r="15" spans="1:30" ht="14" x14ac:dyDescent="0.3">
      <c r="A15" s="67">
        <f t="shared" si="0"/>
        <v>15</v>
      </c>
      <c r="B15" s="27"/>
      <c r="C15" s="105">
        <v>5</v>
      </c>
      <c r="D15" s="106">
        <f t="shared" si="1"/>
        <v>350</v>
      </c>
      <c r="E15" s="36">
        <f>ROUND($G$75+$G$78*$D15+IF($C15&gt;2,($C15-2)*$G$77+2*$G$76,$C15*$G$76),2)</f>
        <v>115.37</v>
      </c>
      <c r="F15" s="36">
        <f t="shared" ref="F15:F20" si="4">($G$79*$D15)</f>
        <v>48.936999999999998</v>
      </c>
      <c r="G15" s="36">
        <f t="shared" ref="G15:G20" si="5">SUM(E15:F15)</f>
        <v>164.30700000000002</v>
      </c>
      <c r="H15" s="36"/>
      <c r="I15" s="36">
        <f t="shared" ref="I15:I20" si="6">ROUND($I$75+$I$78*$D15+IF($C15&gt;2,($C15-2)*$I$77+2*$I$76,$C15*$I$76),2)</f>
        <v>121.84</v>
      </c>
      <c r="J15" s="36">
        <f t="shared" ref="J15:J20" si="7">($I$79*$D15)</f>
        <v>48.936999999999998</v>
      </c>
      <c r="K15" s="36">
        <f t="shared" ref="K15:K20" si="8">SUM(I15:J15)</f>
        <v>170.77699999999999</v>
      </c>
      <c r="L15" s="37"/>
      <c r="M15" s="36">
        <f t="shared" si="2"/>
        <v>6.4699999999999704</v>
      </c>
      <c r="N15" s="107">
        <f t="shared" si="3"/>
        <v>3.9377506740430841E-2</v>
      </c>
      <c r="O15" s="39"/>
      <c r="P15" s="36">
        <f t="shared" ref="P15:P20" si="9">ROUND($J$75+$J$78*$D15+IF($C15&gt;2,($C15-2)*$J$77+2*$J$76,$C15*$J$76),2)</f>
        <v>122.88</v>
      </c>
      <c r="Q15" s="36">
        <f>($J$79*$D15)</f>
        <v>48.936999999999998</v>
      </c>
      <c r="R15" s="36">
        <f t="shared" ref="R15:R20" si="10">SUM(P15:Q15)</f>
        <v>171.81700000000001</v>
      </c>
      <c r="S15" s="36"/>
      <c r="T15" s="36">
        <f t="shared" ref="T15:T38" si="11">R15-K15</f>
        <v>1.0400000000000205</v>
      </c>
      <c r="U15" s="107">
        <f t="shared" ref="U15:U38" si="12">T15/K15</f>
        <v>6.089813031028889E-3</v>
      </c>
      <c r="V15" s="23"/>
      <c r="W15" s="36">
        <f t="shared" ref="W15:W20" si="13">ROUND($K$75+$K$78*$D15+IF($C15&gt;2,($C15-2)*$K$77+2*$K$76,$C15*$K$76),2)</f>
        <v>122.81</v>
      </c>
      <c r="X15" s="36">
        <f t="shared" ref="X15:X20" si="14">($K$79*$D15)</f>
        <v>48.936999999999998</v>
      </c>
      <c r="Y15" s="36">
        <f t="shared" ref="Y15:Y20" si="15">SUM(W15:X15)</f>
        <v>171.74700000000001</v>
      </c>
      <c r="Z15" s="36"/>
      <c r="AA15" s="36">
        <f t="shared" ref="AA15:AA38" si="16">Y15-R15</f>
        <v>-6.9999999999993179E-2</v>
      </c>
      <c r="AB15" s="107">
        <f t="shared" ref="AB15:AB38" si="17">AA15/R15</f>
        <v>-4.0741020969981538E-4</v>
      </c>
      <c r="AC15" s="108"/>
      <c r="AD15" s="109"/>
    </row>
    <row r="16" spans="1:30" ht="14" x14ac:dyDescent="0.3">
      <c r="A16" s="67">
        <f t="shared" si="0"/>
        <v>16</v>
      </c>
      <c r="B16" s="27"/>
      <c r="C16" s="105">
        <v>7</v>
      </c>
      <c r="D16" s="106">
        <f t="shared" si="1"/>
        <v>490</v>
      </c>
      <c r="E16" s="36">
        <f t="shared" ref="E16:E20" si="18">ROUND($G$75+$G$78*$D16+IF($C16&gt;2,($C16-2)*$G$77+2*$G$76,$C16*$G$76),2)</f>
        <v>145.61000000000001</v>
      </c>
      <c r="F16" s="36">
        <f t="shared" si="4"/>
        <v>68.511799999999994</v>
      </c>
      <c r="G16" s="36">
        <f t="shared" si="5"/>
        <v>214.12180000000001</v>
      </c>
      <c r="H16" s="36"/>
      <c r="I16" s="36">
        <f>ROUND($I$75+$I$78*$D16+IF($C16&gt;2,($C16-2)*$I$77+2*$I$76,$C16*$I$76),2)</f>
        <v>154.68</v>
      </c>
      <c r="J16" s="36">
        <f>($I$79*$D16)</f>
        <v>68.511799999999994</v>
      </c>
      <c r="K16" s="36">
        <f t="shared" si="8"/>
        <v>223.1918</v>
      </c>
      <c r="L16" s="37"/>
      <c r="M16" s="36">
        <f t="shared" si="2"/>
        <v>9.0699999999999932</v>
      </c>
      <c r="N16" s="107">
        <f t="shared" si="3"/>
        <v>4.2359068530154302E-2</v>
      </c>
      <c r="O16" s="39"/>
      <c r="P16" s="36">
        <f>ROUND($J$75+$J$78*$D16+IF($C16&gt;2,($C16-2)*$J$77+2*$J$76,$C16*$J$76),2)</f>
        <v>156.12</v>
      </c>
      <c r="Q16" s="36">
        <f t="shared" ref="Q16:Q20" si="19">($J$79*$D16)</f>
        <v>68.511799999999994</v>
      </c>
      <c r="R16" s="36">
        <f t="shared" si="10"/>
        <v>224.6318</v>
      </c>
      <c r="S16" s="36"/>
      <c r="T16" s="36">
        <f t="shared" si="11"/>
        <v>1.4399999999999977</v>
      </c>
      <c r="U16" s="107">
        <f t="shared" si="12"/>
        <v>6.4518499335548965E-3</v>
      </c>
      <c r="V16" s="23"/>
      <c r="W16" s="36">
        <f>ROUND($K$75+$K$78*$D16+IF($C16&gt;2,($C16-2)*$K$77+2*$K$76,$C16*$K$76),2)</f>
        <v>156.03</v>
      </c>
      <c r="X16" s="36">
        <f t="shared" si="14"/>
        <v>68.511799999999994</v>
      </c>
      <c r="Y16" s="36">
        <f>SUM(W16:X16)</f>
        <v>224.54179999999999</v>
      </c>
      <c r="Z16" s="36"/>
      <c r="AA16" s="36">
        <f t="shared" si="16"/>
        <v>-9.0000000000003411E-2</v>
      </c>
      <c r="AB16" s="107">
        <f t="shared" si="17"/>
        <v>-4.0065565071376096E-4</v>
      </c>
      <c r="AC16" s="108"/>
      <c r="AD16" s="109"/>
    </row>
    <row r="17" spans="1:30" ht="14" x14ac:dyDescent="0.3">
      <c r="A17" s="67">
        <f t="shared" si="0"/>
        <v>17</v>
      </c>
      <c r="B17" s="27"/>
      <c r="C17" s="105">
        <v>10</v>
      </c>
      <c r="D17" s="106">
        <f t="shared" si="1"/>
        <v>700</v>
      </c>
      <c r="E17" s="36">
        <f t="shared" si="18"/>
        <v>190.97</v>
      </c>
      <c r="F17" s="36">
        <f>($G$79*$D17)</f>
        <v>97.873999999999995</v>
      </c>
      <c r="G17" s="36">
        <f t="shared" si="5"/>
        <v>288.84399999999999</v>
      </c>
      <c r="H17" s="36"/>
      <c r="I17" s="36">
        <f t="shared" si="6"/>
        <v>203.93</v>
      </c>
      <c r="J17" s="36">
        <f t="shared" si="7"/>
        <v>97.873999999999995</v>
      </c>
      <c r="K17" s="36">
        <f t="shared" si="8"/>
        <v>301.80399999999997</v>
      </c>
      <c r="L17" s="37"/>
      <c r="M17" s="36">
        <f t="shared" si="2"/>
        <v>12.95999999999998</v>
      </c>
      <c r="N17" s="107">
        <f t="shared" si="3"/>
        <v>4.4868510337760105E-2</v>
      </c>
      <c r="O17" s="39"/>
      <c r="P17" s="36">
        <f t="shared" si="9"/>
        <v>205.99</v>
      </c>
      <c r="Q17" s="36">
        <f t="shared" si="19"/>
        <v>97.873999999999995</v>
      </c>
      <c r="R17" s="36">
        <f t="shared" si="10"/>
        <v>303.86400000000003</v>
      </c>
      <c r="S17" s="36"/>
      <c r="T17" s="36">
        <f t="shared" si="11"/>
        <v>2.0600000000000591</v>
      </c>
      <c r="U17" s="107">
        <f t="shared" si="12"/>
        <v>6.8256219268136254E-3</v>
      </c>
      <c r="V17" s="23"/>
      <c r="W17" s="36">
        <f t="shared" si="13"/>
        <v>205.85</v>
      </c>
      <c r="X17" s="36">
        <f>($K$79*$D17)</f>
        <v>97.873999999999995</v>
      </c>
      <c r="Y17" s="36">
        <f t="shared" si="15"/>
        <v>303.72399999999999</v>
      </c>
      <c r="Z17" s="36"/>
      <c r="AA17" s="36">
        <f t="shared" si="16"/>
        <v>-0.1400000000000432</v>
      </c>
      <c r="AB17" s="107">
        <f t="shared" si="17"/>
        <v>-4.607324329306637E-4</v>
      </c>
      <c r="AC17" s="108"/>
      <c r="AD17" s="109"/>
    </row>
    <row r="18" spans="1:30" ht="14" x14ac:dyDescent="0.3">
      <c r="A18" s="67">
        <f t="shared" si="0"/>
        <v>18</v>
      </c>
      <c r="B18" s="27"/>
      <c r="C18" s="105">
        <v>15</v>
      </c>
      <c r="D18" s="106">
        <f>C18*$D$13</f>
        <v>1050</v>
      </c>
      <c r="E18" s="36">
        <f>ROUND($G$75+$G$78*$D18+IF($C18&gt;2,($C18-2)*$G$77+2*$G$76,$C18*$G$76),2)</f>
        <v>266.58</v>
      </c>
      <c r="F18" s="36">
        <f t="shared" si="4"/>
        <v>146.81100000000001</v>
      </c>
      <c r="G18" s="36">
        <f t="shared" si="5"/>
        <v>413.39099999999996</v>
      </c>
      <c r="H18" s="36"/>
      <c r="I18" s="36">
        <f t="shared" si="6"/>
        <v>286.01</v>
      </c>
      <c r="J18" s="36">
        <f t="shared" si="7"/>
        <v>146.81100000000001</v>
      </c>
      <c r="K18" s="36">
        <f t="shared" si="8"/>
        <v>432.82100000000003</v>
      </c>
      <c r="L18" s="37"/>
      <c r="M18" s="36">
        <f t="shared" si="2"/>
        <v>19.430000000000064</v>
      </c>
      <c r="N18" s="107">
        <f t="shared" si="3"/>
        <v>4.7001507047807201E-2</v>
      </c>
      <c r="O18" s="39"/>
      <c r="P18" s="36">
        <f t="shared" si="9"/>
        <v>289.11</v>
      </c>
      <c r="Q18" s="36">
        <f t="shared" si="19"/>
        <v>146.81100000000001</v>
      </c>
      <c r="R18" s="36">
        <f t="shared" si="10"/>
        <v>435.92100000000005</v>
      </c>
      <c r="S18" s="36"/>
      <c r="T18" s="36">
        <f t="shared" si="11"/>
        <v>3.1000000000000227</v>
      </c>
      <c r="U18" s="107">
        <f t="shared" si="12"/>
        <v>7.1623142130350015E-3</v>
      </c>
      <c r="V18" s="23"/>
      <c r="W18" s="36">
        <f t="shared" si="13"/>
        <v>288.89999999999998</v>
      </c>
      <c r="X18" s="36">
        <f t="shared" si="14"/>
        <v>146.81100000000001</v>
      </c>
      <c r="Y18" s="36">
        <f t="shared" si="15"/>
        <v>435.71100000000001</v>
      </c>
      <c r="Z18" s="36"/>
      <c r="AA18" s="36">
        <f t="shared" si="16"/>
        <v>-0.21000000000003638</v>
      </c>
      <c r="AB18" s="107">
        <f t="shared" si="17"/>
        <v>-4.8173866365703043E-4</v>
      </c>
      <c r="AC18" s="108"/>
      <c r="AD18" s="109"/>
    </row>
    <row r="19" spans="1:30" ht="14" x14ac:dyDescent="0.3">
      <c r="A19" s="67">
        <f t="shared" si="0"/>
        <v>19</v>
      </c>
      <c r="B19" s="101"/>
      <c r="C19" s="105">
        <v>30</v>
      </c>
      <c r="D19" s="106">
        <f t="shared" si="1"/>
        <v>2100</v>
      </c>
      <c r="E19" s="36">
        <f>ROUND($G$75+$G$78*$D19+IF($C19&gt;2,($C19-2)*$G$77+2*$G$76,$C19*$G$76),2)</f>
        <v>493.39</v>
      </c>
      <c r="F19" s="36">
        <f t="shared" si="4"/>
        <v>293.62200000000001</v>
      </c>
      <c r="G19" s="36">
        <f t="shared" si="5"/>
        <v>787.01199999999994</v>
      </c>
      <c r="H19" s="36"/>
      <c r="I19" s="36">
        <f t="shared" si="6"/>
        <v>532.26</v>
      </c>
      <c r="J19" s="36">
        <f t="shared" si="7"/>
        <v>293.62200000000001</v>
      </c>
      <c r="K19" s="36">
        <f t="shared" si="8"/>
        <v>825.88200000000006</v>
      </c>
      <c r="L19" s="37"/>
      <c r="M19" s="36">
        <f t="shared" si="2"/>
        <v>38.870000000000118</v>
      </c>
      <c r="N19" s="107">
        <f t="shared" si="3"/>
        <v>4.9389335867814112E-2</v>
      </c>
      <c r="O19" s="39"/>
      <c r="P19" s="36">
        <f t="shared" si="9"/>
        <v>538.46</v>
      </c>
      <c r="Q19" s="36">
        <f t="shared" si="19"/>
        <v>293.62200000000001</v>
      </c>
      <c r="R19" s="36">
        <f t="shared" si="10"/>
        <v>832.08200000000011</v>
      </c>
      <c r="S19" s="36"/>
      <c r="T19" s="36">
        <f t="shared" si="11"/>
        <v>6.2000000000000455</v>
      </c>
      <c r="U19" s="107">
        <f t="shared" si="12"/>
        <v>7.5071257152959439E-3</v>
      </c>
      <c r="V19" s="23"/>
      <c r="W19" s="36">
        <f t="shared" si="13"/>
        <v>538.04</v>
      </c>
      <c r="X19" s="36">
        <f t="shared" si="14"/>
        <v>293.62200000000001</v>
      </c>
      <c r="Y19" s="36">
        <f t="shared" si="15"/>
        <v>831.66200000000003</v>
      </c>
      <c r="Z19" s="36"/>
      <c r="AA19" s="36">
        <f t="shared" si="16"/>
        <v>-0.42000000000007276</v>
      </c>
      <c r="AB19" s="107">
        <f t="shared" si="17"/>
        <v>-5.0475794452959288E-4</v>
      </c>
      <c r="AC19" s="108"/>
      <c r="AD19" s="109"/>
    </row>
    <row r="20" spans="1:30" ht="14" x14ac:dyDescent="0.3">
      <c r="A20" s="67">
        <f t="shared" si="0"/>
        <v>20</v>
      </c>
      <c r="B20" s="71" t="s">
        <v>52</v>
      </c>
      <c r="C20" s="105">
        <v>12</v>
      </c>
      <c r="D20" s="106">
        <f t="shared" si="1"/>
        <v>840</v>
      </c>
      <c r="E20" s="36">
        <f t="shared" si="18"/>
        <v>221.21</v>
      </c>
      <c r="F20" s="36">
        <f t="shared" si="4"/>
        <v>117.44880000000001</v>
      </c>
      <c r="G20" s="36">
        <f t="shared" si="5"/>
        <v>338.65880000000004</v>
      </c>
      <c r="H20" s="36"/>
      <c r="I20" s="36">
        <f t="shared" si="6"/>
        <v>236.76</v>
      </c>
      <c r="J20" s="36">
        <f t="shared" si="7"/>
        <v>117.44880000000001</v>
      </c>
      <c r="K20" s="36">
        <f t="shared" si="8"/>
        <v>354.2088</v>
      </c>
      <c r="L20" s="37"/>
      <c r="M20" s="36">
        <f t="shared" si="2"/>
        <v>15.549999999999955</v>
      </c>
      <c r="N20" s="107">
        <f t="shared" si="3"/>
        <v>4.5916420893241078E-2</v>
      </c>
      <c r="O20" s="39"/>
      <c r="P20" s="36">
        <f t="shared" si="9"/>
        <v>239.24</v>
      </c>
      <c r="Q20" s="36">
        <f t="shared" si="19"/>
        <v>117.44880000000001</v>
      </c>
      <c r="R20" s="36">
        <f t="shared" si="10"/>
        <v>356.68880000000001</v>
      </c>
      <c r="S20" s="36"/>
      <c r="T20" s="36">
        <f t="shared" si="11"/>
        <v>2.4800000000000182</v>
      </c>
      <c r="U20" s="107">
        <f t="shared" si="12"/>
        <v>7.0015200074081112E-3</v>
      </c>
      <c r="V20" s="23"/>
      <c r="W20" s="36">
        <f t="shared" si="13"/>
        <v>239.07</v>
      </c>
      <c r="X20" s="36">
        <f t="shared" si="14"/>
        <v>117.44880000000001</v>
      </c>
      <c r="Y20" s="36">
        <f t="shared" si="15"/>
        <v>356.5188</v>
      </c>
      <c r="Z20" s="36"/>
      <c r="AA20" s="36">
        <f t="shared" si="16"/>
        <v>-0.17000000000001592</v>
      </c>
      <c r="AB20" s="107">
        <f t="shared" si="17"/>
        <v>-4.7660593772503066E-4</v>
      </c>
      <c r="AC20" s="108"/>
      <c r="AD20" s="109"/>
    </row>
    <row r="21" spans="1:30" ht="14" x14ac:dyDescent="0.3">
      <c r="A21" s="67">
        <f t="shared" si="0"/>
        <v>21</v>
      </c>
      <c r="B21" s="27"/>
      <c r="C21" s="110"/>
      <c r="D21" s="110"/>
      <c r="E21" s="36"/>
      <c r="F21" s="36"/>
      <c r="G21" s="36"/>
      <c r="H21" s="111"/>
      <c r="I21" s="36"/>
      <c r="J21" s="36"/>
      <c r="K21" s="36"/>
      <c r="L21" s="109"/>
      <c r="M21" s="36"/>
      <c r="N21" s="36"/>
      <c r="O21" s="36"/>
      <c r="P21" s="36"/>
      <c r="Q21" s="36"/>
      <c r="R21" s="36"/>
      <c r="S21" s="36"/>
      <c r="T21" s="36"/>
      <c r="U21" s="107"/>
      <c r="V21" s="36"/>
      <c r="W21" s="36"/>
      <c r="X21" s="36"/>
      <c r="Y21" s="81"/>
      <c r="Z21" s="112"/>
      <c r="AA21" s="36"/>
      <c r="AB21" s="107"/>
      <c r="AD21" s="109"/>
    </row>
    <row r="22" spans="1:30" ht="14" x14ac:dyDescent="0.3">
      <c r="A22" s="67">
        <f t="shared" si="0"/>
        <v>22</v>
      </c>
      <c r="B22" s="102"/>
      <c r="C22" s="101" t="s">
        <v>126</v>
      </c>
      <c r="D22" s="104">
        <v>140</v>
      </c>
      <c r="E22" s="36"/>
      <c r="F22" s="36"/>
      <c r="G22" s="109"/>
      <c r="H22" s="109"/>
      <c r="I22" s="36"/>
      <c r="J22" s="36"/>
      <c r="K22" s="109"/>
      <c r="L22" s="109"/>
      <c r="M22" s="109"/>
      <c r="N22" s="109"/>
      <c r="O22" s="109"/>
      <c r="P22" s="36"/>
      <c r="Q22" s="36"/>
      <c r="R22" s="109"/>
      <c r="S22" s="109"/>
      <c r="T22" s="36"/>
      <c r="U22" s="107"/>
      <c r="V22" s="109"/>
      <c r="W22" s="36"/>
      <c r="X22" s="36"/>
      <c r="Y22" s="81"/>
      <c r="Z22" s="112"/>
      <c r="AA22" s="36"/>
      <c r="AB22" s="107"/>
    </row>
    <row r="23" spans="1:30" ht="14" x14ac:dyDescent="0.3">
      <c r="A23" s="67">
        <f t="shared" si="0"/>
        <v>23</v>
      </c>
      <c r="B23" s="102"/>
      <c r="C23" s="105">
        <v>3</v>
      </c>
      <c r="D23" s="106">
        <f t="shared" ref="D23:D29" si="20">C23*$D$22</f>
        <v>420</v>
      </c>
      <c r="E23" s="36">
        <f>ROUND($G$75+$G$78*$D23+IF($C23&gt;2,($C23-2)*$G$77+2*$G$76,$C23*$G$76),2)</f>
        <v>92.63</v>
      </c>
      <c r="F23" s="36">
        <f t="shared" ref="F23:F29" si="21">($G$79*$D23)</f>
        <v>58.724400000000003</v>
      </c>
      <c r="G23" s="36">
        <f t="shared" ref="G23:G29" si="22">SUM(E23:F23)</f>
        <v>151.3544</v>
      </c>
      <c r="H23" s="36"/>
      <c r="I23" s="36">
        <f>ROUND($I$75+$I$78*$D23+IF($C23&gt;2,($C23-2)*$I$77+2*$I$76,$C23*$I$76),2)</f>
        <v>100.4</v>
      </c>
      <c r="J23" s="36">
        <f t="shared" ref="J23:J29" si="23">($I$79*$D23)</f>
        <v>58.724400000000003</v>
      </c>
      <c r="K23" s="36">
        <f t="shared" ref="K23:K29" si="24">SUM(I23:J23)</f>
        <v>159.12440000000001</v>
      </c>
      <c r="L23" s="37"/>
      <c r="M23" s="36">
        <f t="shared" ref="M23:M29" si="25">+K23-G23</f>
        <v>7.7700000000000102</v>
      </c>
      <c r="N23" s="39">
        <f t="shared" ref="N23:N29" si="26">+M23/G23</f>
        <v>5.1336465936900479E-2</v>
      </c>
      <c r="O23" s="39"/>
      <c r="P23" s="36">
        <f>ROUND($J$75+$J$78*$D23+IF($C23&gt;2,($C23-2)*$J$77+2*$J$76,$C23*$J$76),2)</f>
        <v>101.64</v>
      </c>
      <c r="Q23" s="36">
        <f t="shared" ref="Q23:Q29" si="27">($J$79*$D23)</f>
        <v>58.724400000000003</v>
      </c>
      <c r="R23" s="36">
        <f t="shared" ref="R23:R29" si="28">SUM(P23:Q23)</f>
        <v>160.36439999999999</v>
      </c>
      <c r="S23" s="36"/>
      <c r="T23" s="36">
        <f t="shared" si="11"/>
        <v>1.2399999999999807</v>
      </c>
      <c r="U23" s="107">
        <f t="shared" si="12"/>
        <v>7.7926452511367242E-3</v>
      </c>
      <c r="V23" s="23"/>
      <c r="W23" s="36">
        <f>ROUND($K$75+$K$78*$D23+IF($C23&gt;2,($C23-2)*$K$77+2*$K$76,$C23*$K$76),2)</f>
        <v>101.56</v>
      </c>
      <c r="X23" s="36">
        <f t="shared" ref="X23:X29" si="29">($K$79*$D23)</f>
        <v>58.724400000000003</v>
      </c>
      <c r="Y23" s="36">
        <f t="shared" ref="Y23:Y29" si="30">SUM(W23:X23)</f>
        <v>160.28440000000001</v>
      </c>
      <c r="Z23" s="36"/>
      <c r="AA23" s="36">
        <f t="shared" si="16"/>
        <v>-7.9999999999984084E-2</v>
      </c>
      <c r="AB23" s="107">
        <f t="shared" si="17"/>
        <v>-4.9886383760974437E-4</v>
      </c>
      <c r="AC23" s="108"/>
      <c r="AD23" s="109"/>
    </row>
    <row r="24" spans="1:30" ht="14" x14ac:dyDescent="0.3">
      <c r="A24" s="67">
        <f t="shared" si="0"/>
        <v>24</v>
      </c>
      <c r="B24" s="102"/>
      <c r="C24" s="105">
        <v>5</v>
      </c>
      <c r="D24" s="106">
        <f t="shared" si="20"/>
        <v>700</v>
      </c>
      <c r="E24" s="36">
        <f t="shared" ref="E24:E29" si="31">ROUND($G$75+$G$78*$D24+IF($C24&gt;2,($C24-2)*$G$77+2*$G$76,$C24*$G$76),2)</f>
        <v>127.87</v>
      </c>
      <c r="F24" s="36">
        <f>($G$79*$D24)</f>
        <v>97.873999999999995</v>
      </c>
      <c r="G24" s="36">
        <f t="shared" si="22"/>
        <v>225.744</v>
      </c>
      <c r="H24" s="36"/>
      <c r="I24" s="36">
        <f t="shared" ref="I24:I29" si="32">ROUND($I$75+$I$78*$D24+IF($C24&gt;2,($C24-2)*$I$77+2*$I$76,$C24*$I$76),2)</f>
        <v>140.83000000000001</v>
      </c>
      <c r="J24" s="36">
        <f t="shared" si="23"/>
        <v>97.873999999999995</v>
      </c>
      <c r="K24" s="36">
        <f t="shared" si="24"/>
        <v>238.70400000000001</v>
      </c>
      <c r="L24" s="37"/>
      <c r="M24" s="36">
        <f t="shared" si="25"/>
        <v>12.960000000000008</v>
      </c>
      <c r="N24" s="39">
        <f t="shared" si="26"/>
        <v>5.7410163725281772E-2</v>
      </c>
      <c r="O24" s="39"/>
      <c r="P24" s="36">
        <f t="shared" ref="P24:P29" si="33">ROUND($J$75+$J$78*$D24+IF($C24&gt;2,($C24-2)*$J$77+2*$J$76,$C24*$J$76),2)</f>
        <v>142.88999999999999</v>
      </c>
      <c r="Q24" s="36">
        <f t="shared" si="27"/>
        <v>97.873999999999995</v>
      </c>
      <c r="R24" s="36">
        <f t="shared" si="28"/>
        <v>240.76399999999998</v>
      </c>
      <c r="S24" s="36"/>
      <c r="T24" s="36">
        <f t="shared" si="11"/>
        <v>2.0599999999999739</v>
      </c>
      <c r="U24" s="107">
        <f t="shared" si="12"/>
        <v>8.6299349822373059E-3</v>
      </c>
      <c r="V24" s="23"/>
      <c r="W24" s="36">
        <f t="shared" ref="W24:W29" si="34">ROUND($K$75+$K$78*$D24+IF($C24&gt;2,($C24-2)*$K$77+2*$K$76,$C24*$K$76),2)</f>
        <v>142.75</v>
      </c>
      <c r="X24" s="36">
        <f>($K$79*$D24)</f>
        <v>97.873999999999995</v>
      </c>
      <c r="Y24" s="36">
        <f t="shared" si="30"/>
        <v>240.624</v>
      </c>
      <c r="Z24" s="36"/>
      <c r="AA24" s="36">
        <f t="shared" si="16"/>
        <v>-0.13999999999998636</v>
      </c>
      <c r="AB24" s="107">
        <f t="shared" si="17"/>
        <v>-5.8148228140414003E-4</v>
      </c>
      <c r="AC24" s="108"/>
      <c r="AD24" s="109"/>
    </row>
    <row r="25" spans="1:30" ht="14" x14ac:dyDescent="0.3">
      <c r="A25" s="67">
        <f t="shared" si="0"/>
        <v>25</v>
      </c>
      <c r="B25" s="102"/>
      <c r="C25" s="105">
        <v>7</v>
      </c>
      <c r="D25" s="106">
        <f t="shared" si="20"/>
        <v>980</v>
      </c>
      <c r="E25" s="36">
        <f t="shared" si="31"/>
        <v>163.12</v>
      </c>
      <c r="F25" s="36">
        <f t="shared" si="21"/>
        <v>137.02359999999999</v>
      </c>
      <c r="G25" s="36">
        <f t="shared" si="22"/>
        <v>300.14359999999999</v>
      </c>
      <c r="H25" s="36"/>
      <c r="I25" s="36">
        <f t="shared" si="32"/>
        <v>181.26</v>
      </c>
      <c r="J25" s="36">
        <f>($I$79*$D25)</f>
        <v>137.02359999999999</v>
      </c>
      <c r="K25" s="36">
        <f t="shared" si="24"/>
        <v>318.28359999999998</v>
      </c>
      <c r="L25" s="37"/>
      <c r="M25" s="36">
        <f t="shared" si="25"/>
        <v>18.139999999999986</v>
      </c>
      <c r="N25" s="39">
        <f t="shared" si="26"/>
        <v>6.0437737136490623E-2</v>
      </c>
      <c r="O25" s="39"/>
      <c r="P25" s="36">
        <f t="shared" si="33"/>
        <v>184.15</v>
      </c>
      <c r="Q25" s="36">
        <f t="shared" si="27"/>
        <v>137.02359999999999</v>
      </c>
      <c r="R25" s="36">
        <f t="shared" si="28"/>
        <v>321.17359999999996</v>
      </c>
      <c r="S25" s="36"/>
      <c r="T25" s="36">
        <f t="shared" si="11"/>
        <v>2.8899999999999864</v>
      </c>
      <c r="U25" s="107">
        <f t="shared" si="12"/>
        <v>9.0799525957353331E-3</v>
      </c>
      <c r="V25" s="23"/>
      <c r="W25" s="36">
        <f>ROUND($K$75+$K$78*$D25+IF($C25&gt;2,($C25-2)*$K$77+2*$K$76,$C25*$K$76),2)</f>
        <v>183.95</v>
      </c>
      <c r="X25" s="36">
        <f t="shared" si="29"/>
        <v>137.02359999999999</v>
      </c>
      <c r="Y25" s="36">
        <f t="shared" si="30"/>
        <v>320.97359999999998</v>
      </c>
      <c r="Z25" s="36"/>
      <c r="AA25" s="36">
        <f t="shared" si="16"/>
        <v>-0.19999999999998863</v>
      </c>
      <c r="AB25" s="107">
        <f t="shared" si="17"/>
        <v>-6.227161883790843E-4</v>
      </c>
      <c r="AC25" s="108"/>
      <c r="AD25" s="109"/>
    </row>
    <row r="26" spans="1:30" ht="14" x14ac:dyDescent="0.3">
      <c r="A26" s="67">
        <f t="shared" si="0"/>
        <v>26</v>
      </c>
      <c r="B26" s="102"/>
      <c r="C26" s="105">
        <v>12</v>
      </c>
      <c r="D26" s="106">
        <f t="shared" si="20"/>
        <v>1680</v>
      </c>
      <c r="E26" s="36">
        <f t="shared" si="31"/>
        <v>251.23</v>
      </c>
      <c r="F26" s="36">
        <f t="shared" si="21"/>
        <v>234.89760000000001</v>
      </c>
      <c r="G26" s="36">
        <f t="shared" si="22"/>
        <v>486.12760000000003</v>
      </c>
      <c r="H26" s="36"/>
      <c r="I26" s="36">
        <f>ROUND($I$75+$I$78*$D26+IF($C26&gt;2,($C26-2)*$I$77+2*$I$76,$C26*$I$76),2)</f>
        <v>282.32</v>
      </c>
      <c r="J26" s="36">
        <f t="shared" si="23"/>
        <v>234.89760000000001</v>
      </c>
      <c r="K26" s="36">
        <f t="shared" si="24"/>
        <v>517.21759999999995</v>
      </c>
      <c r="L26" s="37"/>
      <c r="M26" s="36">
        <f t="shared" si="25"/>
        <v>31.089999999999918</v>
      </c>
      <c r="N26" s="39">
        <f t="shared" si="26"/>
        <v>6.3954402095252189E-2</v>
      </c>
      <c r="O26" s="39"/>
      <c r="P26" s="36">
        <f>ROUND($J$75+$J$78*$D26+IF($C26&gt;2,($C26-2)*$J$77+2*$J$76,$C26*$J$76),2)</f>
        <v>287.27999999999997</v>
      </c>
      <c r="Q26" s="36">
        <f t="shared" si="27"/>
        <v>234.89760000000001</v>
      </c>
      <c r="R26" s="36">
        <f t="shared" si="28"/>
        <v>522.17759999999998</v>
      </c>
      <c r="S26" s="36"/>
      <c r="T26" s="36">
        <f t="shared" si="11"/>
        <v>4.9600000000000364</v>
      </c>
      <c r="U26" s="107">
        <f t="shared" si="12"/>
        <v>9.589774207219624E-3</v>
      </c>
      <c r="V26" s="23"/>
      <c r="W26" s="36">
        <f t="shared" si="34"/>
        <v>286.94</v>
      </c>
      <c r="X26" s="36">
        <f t="shared" si="29"/>
        <v>234.89760000000001</v>
      </c>
      <c r="Y26" s="36">
        <f t="shared" si="30"/>
        <v>521.83760000000007</v>
      </c>
      <c r="Z26" s="36"/>
      <c r="AA26" s="36">
        <f t="shared" si="16"/>
        <v>-0.33999999999991815</v>
      </c>
      <c r="AB26" s="107">
        <f t="shared" si="17"/>
        <v>-6.5111946586739482E-4</v>
      </c>
      <c r="AC26" s="108"/>
      <c r="AD26" s="109"/>
    </row>
    <row r="27" spans="1:30" ht="14" x14ac:dyDescent="0.3">
      <c r="A27" s="67">
        <f t="shared" si="0"/>
        <v>27</v>
      </c>
      <c r="B27" s="102"/>
      <c r="C27" s="105">
        <v>20</v>
      </c>
      <c r="D27" s="106">
        <f t="shared" si="20"/>
        <v>2800</v>
      </c>
      <c r="E27" s="36">
        <f>ROUND($G$75+$G$78*$D27+IF($C27&gt;2,($C27-2)*$G$77+2*$G$76,$C27*$G$76),2)</f>
        <v>392.2</v>
      </c>
      <c r="F27" s="36">
        <f t="shared" si="21"/>
        <v>391.49599999999998</v>
      </c>
      <c r="G27" s="36">
        <f t="shared" si="22"/>
        <v>783.69599999999991</v>
      </c>
      <c r="H27" s="36"/>
      <c r="I27" s="36">
        <f t="shared" si="32"/>
        <v>444.03</v>
      </c>
      <c r="J27" s="36">
        <f t="shared" si="23"/>
        <v>391.49599999999998</v>
      </c>
      <c r="K27" s="36">
        <f t="shared" si="24"/>
        <v>835.52599999999995</v>
      </c>
      <c r="L27" s="37"/>
      <c r="M27" s="36">
        <f t="shared" si="25"/>
        <v>51.830000000000041</v>
      </c>
      <c r="N27" s="39">
        <f t="shared" si="26"/>
        <v>6.6135338192360366E-2</v>
      </c>
      <c r="O27" s="39"/>
      <c r="P27" s="36">
        <f t="shared" si="33"/>
        <v>452.29</v>
      </c>
      <c r="Q27" s="36">
        <f>($J$79*$D27)</f>
        <v>391.49599999999998</v>
      </c>
      <c r="R27" s="36">
        <f t="shared" si="28"/>
        <v>843.78600000000006</v>
      </c>
      <c r="S27" s="36"/>
      <c r="T27" s="36">
        <f t="shared" si="11"/>
        <v>8.2600000000001046</v>
      </c>
      <c r="U27" s="107">
        <f t="shared" si="12"/>
        <v>9.8859879884050355E-3</v>
      </c>
      <c r="V27" s="23"/>
      <c r="W27" s="36">
        <f t="shared" si="34"/>
        <v>451.73</v>
      </c>
      <c r="X27" s="36">
        <f t="shared" si="29"/>
        <v>391.49599999999998</v>
      </c>
      <c r="Y27" s="36">
        <f t="shared" si="30"/>
        <v>843.226</v>
      </c>
      <c r="Z27" s="36"/>
      <c r="AA27" s="36">
        <f t="shared" si="16"/>
        <v>-0.56000000000005912</v>
      </c>
      <c r="AB27" s="107">
        <f t="shared" si="17"/>
        <v>-6.6367538688726654E-4</v>
      </c>
      <c r="AC27" s="108"/>
      <c r="AD27" s="109"/>
    </row>
    <row r="28" spans="1:30" ht="14" x14ac:dyDescent="0.3">
      <c r="A28" s="67">
        <f t="shared" si="0"/>
        <v>28</v>
      </c>
      <c r="B28" s="102"/>
      <c r="C28" s="105">
        <v>45</v>
      </c>
      <c r="D28" s="106">
        <f t="shared" si="20"/>
        <v>6300</v>
      </c>
      <c r="E28" s="36">
        <f t="shared" si="31"/>
        <v>832.76</v>
      </c>
      <c r="F28" s="36">
        <f t="shared" si="21"/>
        <v>880.86599999999999</v>
      </c>
      <c r="G28" s="36">
        <f t="shared" si="22"/>
        <v>1713.626</v>
      </c>
      <c r="H28" s="36"/>
      <c r="I28" s="36">
        <f t="shared" si="32"/>
        <v>949.37</v>
      </c>
      <c r="J28" s="36">
        <f t="shared" si="23"/>
        <v>880.86599999999999</v>
      </c>
      <c r="K28" s="36">
        <f t="shared" si="24"/>
        <v>1830.2359999999999</v>
      </c>
      <c r="L28" s="37"/>
      <c r="M28" s="36">
        <f t="shared" si="25"/>
        <v>116.6099999999999</v>
      </c>
      <c r="N28" s="39">
        <f t="shared" si="26"/>
        <v>6.8048687403202274E-2</v>
      </c>
      <c r="O28" s="39"/>
      <c r="P28" s="36">
        <f t="shared" si="33"/>
        <v>967.96</v>
      </c>
      <c r="Q28" s="36">
        <f t="shared" si="27"/>
        <v>880.86599999999999</v>
      </c>
      <c r="R28" s="36">
        <f t="shared" si="28"/>
        <v>1848.826</v>
      </c>
      <c r="S28" s="36"/>
      <c r="T28" s="36">
        <f t="shared" si="11"/>
        <v>18.590000000000146</v>
      </c>
      <c r="U28" s="107">
        <f t="shared" si="12"/>
        <v>1.0157160060232749E-2</v>
      </c>
      <c r="V28" s="23"/>
      <c r="W28" s="36">
        <f t="shared" si="34"/>
        <v>966.7</v>
      </c>
      <c r="X28" s="36">
        <f t="shared" si="29"/>
        <v>880.86599999999999</v>
      </c>
      <c r="Y28" s="36">
        <f t="shared" si="30"/>
        <v>1847.566</v>
      </c>
      <c r="Z28" s="36"/>
      <c r="AA28" s="36">
        <f t="shared" si="16"/>
        <v>-1.2599999999999909</v>
      </c>
      <c r="AB28" s="107">
        <f t="shared" si="17"/>
        <v>-6.8151356590614304E-4</v>
      </c>
      <c r="AC28" s="108"/>
      <c r="AD28" s="109"/>
    </row>
    <row r="29" spans="1:30" ht="14" x14ac:dyDescent="0.3">
      <c r="A29" s="67">
        <f t="shared" si="0"/>
        <v>29</v>
      </c>
      <c r="B29" s="71" t="s">
        <v>52</v>
      </c>
      <c r="C29" s="113">
        <v>15</v>
      </c>
      <c r="D29" s="106">
        <f t="shared" si="20"/>
        <v>2100</v>
      </c>
      <c r="E29" s="36">
        <f t="shared" si="31"/>
        <v>304.08999999999997</v>
      </c>
      <c r="F29" s="36">
        <f t="shared" si="21"/>
        <v>293.62200000000001</v>
      </c>
      <c r="G29" s="36">
        <f t="shared" si="22"/>
        <v>597.71199999999999</v>
      </c>
      <c r="H29" s="36"/>
      <c r="I29" s="36">
        <f t="shared" si="32"/>
        <v>342.96</v>
      </c>
      <c r="J29" s="36">
        <f t="shared" si="23"/>
        <v>293.62200000000001</v>
      </c>
      <c r="K29" s="36">
        <f t="shared" si="24"/>
        <v>636.58199999999999</v>
      </c>
      <c r="L29" s="37"/>
      <c r="M29" s="36">
        <f t="shared" si="25"/>
        <v>38.870000000000005</v>
      </c>
      <c r="N29" s="39">
        <f t="shared" si="26"/>
        <v>6.5031319431431867E-2</v>
      </c>
      <c r="O29" s="39"/>
      <c r="P29" s="36">
        <f t="shared" si="33"/>
        <v>349.16</v>
      </c>
      <c r="Q29" s="36">
        <f t="shared" si="27"/>
        <v>293.62200000000001</v>
      </c>
      <c r="R29" s="36">
        <f t="shared" si="28"/>
        <v>642.78200000000004</v>
      </c>
      <c r="S29" s="36"/>
      <c r="T29" s="36">
        <f t="shared" si="11"/>
        <v>6.2000000000000455</v>
      </c>
      <c r="U29" s="107">
        <f t="shared" si="12"/>
        <v>9.7395150978193627E-3</v>
      </c>
      <c r="V29" s="23"/>
      <c r="W29" s="36">
        <f t="shared" si="34"/>
        <v>348.74</v>
      </c>
      <c r="X29" s="36">
        <f t="shared" si="29"/>
        <v>293.62200000000001</v>
      </c>
      <c r="Y29" s="36">
        <f t="shared" si="30"/>
        <v>642.36200000000008</v>
      </c>
      <c r="Z29" s="36"/>
      <c r="AA29" s="36">
        <f t="shared" si="16"/>
        <v>-0.41999999999995907</v>
      </c>
      <c r="AB29" s="107">
        <f t="shared" si="17"/>
        <v>-6.5340970966822195E-4</v>
      </c>
      <c r="AC29" s="108"/>
      <c r="AD29" s="109"/>
    </row>
    <row r="30" spans="1:30" ht="14" x14ac:dyDescent="0.3">
      <c r="A30" s="67">
        <f t="shared" si="0"/>
        <v>30</v>
      </c>
      <c r="B30" s="102"/>
      <c r="C30" s="110"/>
      <c r="D30" s="110"/>
      <c r="E30" s="36"/>
      <c r="F30" s="36"/>
      <c r="G30" s="109"/>
      <c r="H30" s="111"/>
      <c r="I30" s="36"/>
      <c r="J30" s="36"/>
      <c r="K30" s="109"/>
      <c r="L30" s="109"/>
      <c r="M30" s="109"/>
      <c r="N30" s="109"/>
      <c r="O30" s="109"/>
      <c r="P30" s="36"/>
      <c r="Q30" s="36"/>
      <c r="R30" s="109"/>
      <c r="S30" s="109"/>
      <c r="T30" s="36"/>
      <c r="U30" s="107"/>
      <c r="V30" s="109"/>
      <c r="W30" s="36"/>
      <c r="X30" s="36"/>
      <c r="AA30" s="36"/>
      <c r="AB30" s="107"/>
      <c r="AD30" s="109"/>
    </row>
    <row r="31" spans="1:30" ht="14" x14ac:dyDescent="0.3">
      <c r="A31" s="67">
        <f t="shared" si="0"/>
        <v>31</v>
      </c>
      <c r="B31" s="102"/>
      <c r="C31" s="101" t="s">
        <v>126</v>
      </c>
      <c r="D31" s="104">
        <v>265</v>
      </c>
      <c r="E31" s="36"/>
      <c r="F31" s="36"/>
      <c r="G31" s="109"/>
      <c r="H31" s="109"/>
      <c r="I31" s="36"/>
      <c r="J31" s="36"/>
      <c r="K31" s="109"/>
      <c r="L31" s="109"/>
      <c r="M31" s="109"/>
      <c r="N31" s="109"/>
      <c r="O31" s="109"/>
      <c r="P31" s="36"/>
      <c r="Q31" s="36"/>
      <c r="R31" s="109"/>
      <c r="S31" s="109"/>
      <c r="T31" s="36"/>
      <c r="U31" s="107"/>
      <c r="V31" s="109"/>
      <c r="W31" s="36"/>
      <c r="X31" s="36"/>
      <c r="AA31" s="36"/>
      <c r="AB31" s="107"/>
    </row>
    <row r="32" spans="1:30" ht="14" x14ac:dyDescent="0.3">
      <c r="A32" s="67">
        <f t="shared" si="0"/>
        <v>32</v>
      </c>
      <c r="B32" s="102"/>
      <c r="C32" s="105">
        <v>2</v>
      </c>
      <c r="D32" s="106">
        <f t="shared" ref="D32:D38" si="35">C32*$D$31</f>
        <v>530</v>
      </c>
      <c r="E32" s="36">
        <f>ROUND($G$75+$G$78*$D32+IF($C32&gt;2,($C32-2)*$G$77+2*$G$76,$C32*$G$76),2)</f>
        <v>83.94</v>
      </c>
      <c r="F32" s="36">
        <f t="shared" ref="F32:F38" si="36">($G$79*$D32)</f>
        <v>74.104600000000005</v>
      </c>
      <c r="G32" s="36">
        <f t="shared" ref="G32:G38" si="37">SUM(E32:F32)</f>
        <v>158.0446</v>
      </c>
      <c r="H32" s="36"/>
      <c r="I32" s="36">
        <f>ROUND($I$75+$I$78*$D32+IF($C32&gt;2,($C32-2)*$I$77+2*$I$76,$C32*$I$76),2)</f>
        <v>93.75</v>
      </c>
      <c r="J32" s="36">
        <f t="shared" ref="J32:J38" si="38">($I$79*$D32)</f>
        <v>74.104600000000005</v>
      </c>
      <c r="K32" s="36">
        <f t="shared" ref="K32:K38" si="39">SUM(I32:J32)</f>
        <v>167.8546</v>
      </c>
      <c r="L32" s="37"/>
      <c r="M32" s="36">
        <f t="shared" ref="M32:M38" si="40">+K32-G32</f>
        <v>9.8100000000000023</v>
      </c>
      <c r="N32" s="39">
        <f t="shared" ref="N32:N38" si="41">+M32/G32</f>
        <v>6.2071086262991598E-2</v>
      </c>
      <c r="O32" s="39"/>
      <c r="P32" s="36">
        <f>ROUND($J$75+$J$78*$D32+IF($C32&gt;2,($C32-2)*$J$77+2*$J$76,$C32*$J$76),2)</f>
        <v>95.31</v>
      </c>
      <c r="Q32" s="36">
        <f t="shared" ref="Q32:Q38" si="42">($J$79*$D32)</f>
        <v>74.104600000000005</v>
      </c>
      <c r="R32" s="36">
        <f t="shared" ref="R32:R38" si="43">SUM(P32:Q32)</f>
        <v>169.41460000000001</v>
      </c>
      <c r="S32" s="36"/>
      <c r="T32" s="36">
        <f t="shared" si="11"/>
        <v>1.5600000000000023</v>
      </c>
      <c r="U32" s="107">
        <f t="shared" si="12"/>
        <v>9.2937578118204821E-3</v>
      </c>
      <c r="V32" s="23"/>
      <c r="W32" s="36">
        <f>ROUND($K$75+$K$78*$D32+IF($C32&gt;2,($C32-2)*$K$77+2*$K$76,$C32*$K$76),2)</f>
        <v>95.2</v>
      </c>
      <c r="X32" s="36">
        <f t="shared" ref="X32:X38" si="44">($K$79*$D32)</f>
        <v>74.104600000000005</v>
      </c>
      <c r="Y32" s="36">
        <f t="shared" ref="Y32:Y38" si="45">SUM(W32:X32)</f>
        <v>169.30459999999999</v>
      </c>
      <c r="Z32" s="36"/>
      <c r="AA32" s="36">
        <f t="shared" si="16"/>
        <v>-0.11000000000001364</v>
      </c>
      <c r="AB32" s="107">
        <f t="shared" si="17"/>
        <v>-6.4929468888757895E-4</v>
      </c>
      <c r="AC32" s="81"/>
      <c r="AD32" s="109"/>
    </row>
    <row r="33" spans="1:30" ht="14" x14ac:dyDescent="0.3">
      <c r="A33" s="67">
        <f t="shared" si="0"/>
        <v>33</v>
      </c>
      <c r="B33" s="102"/>
      <c r="C33" s="105">
        <v>5</v>
      </c>
      <c r="D33" s="106">
        <f t="shared" si="35"/>
        <v>1325</v>
      </c>
      <c r="E33" s="36">
        <f t="shared" ref="E33:E38" si="46">ROUND($G$75+$G$78*$D33+IF($C33&gt;2,($C33-2)*$G$77+2*$G$76,$C33*$G$76),2)</f>
        <v>150.19999999999999</v>
      </c>
      <c r="F33" s="36">
        <f t="shared" si="36"/>
        <v>185.26150000000001</v>
      </c>
      <c r="G33" s="36">
        <f t="shared" si="37"/>
        <v>335.4615</v>
      </c>
      <c r="H33" s="36"/>
      <c r="I33" s="36">
        <f t="shared" ref="I33:I38" si="47">ROUND($I$75+$I$78*$D33+IF($C33&gt;2,($C33-2)*$I$77+2*$I$76,$C33*$I$76),2)</f>
        <v>174.73</v>
      </c>
      <c r="J33" s="36">
        <f t="shared" si="38"/>
        <v>185.26150000000001</v>
      </c>
      <c r="K33" s="36">
        <f t="shared" si="39"/>
        <v>359.99149999999997</v>
      </c>
      <c r="L33" s="37"/>
      <c r="M33" s="36">
        <f t="shared" si="40"/>
        <v>24.529999999999973</v>
      </c>
      <c r="N33" s="39">
        <f t="shared" si="41"/>
        <v>7.3123145278966351E-2</v>
      </c>
      <c r="O33" s="39"/>
      <c r="P33" s="36">
        <f t="shared" ref="P33:P38" si="48">ROUND($J$75+$J$78*$D33+IF($C33&gt;2,($C33-2)*$J$77+2*$J$76,$C33*$J$76),2)</f>
        <v>178.64</v>
      </c>
      <c r="Q33" s="36">
        <f t="shared" si="42"/>
        <v>185.26150000000001</v>
      </c>
      <c r="R33" s="36">
        <f t="shared" si="43"/>
        <v>363.9015</v>
      </c>
      <c r="S33" s="36"/>
      <c r="T33" s="36">
        <f t="shared" si="11"/>
        <v>3.910000000000025</v>
      </c>
      <c r="U33" s="107">
        <f t="shared" si="12"/>
        <v>1.0861367560067461E-2</v>
      </c>
      <c r="V33" s="23"/>
      <c r="W33" s="36">
        <f t="shared" ref="W33:W38" si="49">ROUND($K$75+$K$78*$D33+IF($C33&gt;2,($C33-2)*$K$77+2*$K$76,$C33*$K$76),2)</f>
        <v>178.37</v>
      </c>
      <c r="X33" s="36">
        <f t="shared" si="44"/>
        <v>185.26150000000001</v>
      </c>
      <c r="Y33" s="36">
        <f t="shared" si="45"/>
        <v>363.63150000000002</v>
      </c>
      <c r="Z33" s="36"/>
      <c r="AA33" s="36">
        <f t="shared" si="16"/>
        <v>-0.26999999999998181</v>
      </c>
      <c r="AB33" s="107">
        <f t="shared" si="17"/>
        <v>-7.4195901913012678E-4</v>
      </c>
      <c r="AC33" s="81"/>
      <c r="AD33" s="109"/>
    </row>
    <row r="34" spans="1:30" ht="14" x14ac:dyDescent="0.3">
      <c r="A34" s="67">
        <f t="shared" si="0"/>
        <v>34</v>
      </c>
      <c r="B34" s="102"/>
      <c r="C34" s="105">
        <v>7</v>
      </c>
      <c r="D34" s="106">
        <f t="shared" si="35"/>
        <v>1855</v>
      </c>
      <c r="E34" s="36">
        <f t="shared" si="46"/>
        <v>194.38</v>
      </c>
      <c r="F34" s="36">
        <f t="shared" si="36"/>
        <v>259.36610000000002</v>
      </c>
      <c r="G34" s="36">
        <f t="shared" si="37"/>
        <v>453.74610000000001</v>
      </c>
      <c r="H34" s="36"/>
      <c r="I34" s="36">
        <f t="shared" si="47"/>
        <v>228.72</v>
      </c>
      <c r="J34" s="36">
        <f t="shared" si="38"/>
        <v>259.36610000000002</v>
      </c>
      <c r="K34" s="36">
        <f t="shared" si="39"/>
        <v>488.08609999999999</v>
      </c>
      <c r="L34" s="37"/>
      <c r="M34" s="36">
        <f t="shared" si="40"/>
        <v>34.339999999999975</v>
      </c>
      <c r="N34" s="39">
        <f t="shared" si="41"/>
        <v>7.5681091253456442E-2</v>
      </c>
      <c r="O34" s="39"/>
      <c r="P34" s="36">
        <f t="shared" si="48"/>
        <v>234.19</v>
      </c>
      <c r="Q34" s="36">
        <f t="shared" si="42"/>
        <v>259.36610000000002</v>
      </c>
      <c r="R34" s="36">
        <f t="shared" si="43"/>
        <v>493.55610000000001</v>
      </c>
      <c r="S34" s="36"/>
      <c r="T34" s="36">
        <f t="shared" si="11"/>
        <v>5.4700000000000273</v>
      </c>
      <c r="U34" s="107">
        <f t="shared" si="12"/>
        <v>1.1207039085931821E-2</v>
      </c>
      <c r="V34" s="23"/>
      <c r="W34" s="36">
        <f t="shared" si="49"/>
        <v>233.82</v>
      </c>
      <c r="X34" s="36">
        <f t="shared" si="44"/>
        <v>259.36610000000002</v>
      </c>
      <c r="Y34" s="36">
        <f t="shared" si="45"/>
        <v>493.18610000000001</v>
      </c>
      <c r="Z34" s="36"/>
      <c r="AA34" s="36">
        <f t="shared" si="16"/>
        <v>-0.37000000000000455</v>
      </c>
      <c r="AB34" s="107">
        <f t="shared" si="17"/>
        <v>-7.4966148731624334E-4</v>
      </c>
      <c r="AC34" s="81"/>
      <c r="AD34" s="109"/>
    </row>
    <row r="35" spans="1:30" ht="14" x14ac:dyDescent="0.3">
      <c r="A35" s="67">
        <f t="shared" si="0"/>
        <v>35</v>
      </c>
      <c r="B35" s="102"/>
      <c r="C35" s="105">
        <v>10</v>
      </c>
      <c r="D35" s="106">
        <f t="shared" si="35"/>
        <v>2650</v>
      </c>
      <c r="E35" s="36">
        <f t="shared" si="46"/>
        <v>260.64</v>
      </c>
      <c r="F35" s="36">
        <f t="shared" si="36"/>
        <v>370.52300000000002</v>
      </c>
      <c r="G35" s="36">
        <f t="shared" si="37"/>
        <v>631.16300000000001</v>
      </c>
      <c r="H35" s="36"/>
      <c r="I35" s="36">
        <f t="shared" si="47"/>
        <v>309.7</v>
      </c>
      <c r="J35" s="36">
        <f>($I$79*$D35)</f>
        <v>370.52300000000002</v>
      </c>
      <c r="K35" s="36">
        <f t="shared" si="39"/>
        <v>680.22299999999996</v>
      </c>
      <c r="L35" s="37"/>
      <c r="M35" s="36">
        <f t="shared" si="40"/>
        <v>49.059999999999945</v>
      </c>
      <c r="N35" s="39">
        <f t="shared" si="41"/>
        <v>7.7729524702810443E-2</v>
      </c>
      <c r="O35" s="39"/>
      <c r="P35" s="36">
        <f t="shared" si="48"/>
        <v>317.51</v>
      </c>
      <c r="Q35" s="36">
        <f>($J$79*$D35)</f>
        <v>370.52300000000002</v>
      </c>
      <c r="R35" s="36">
        <f t="shared" si="43"/>
        <v>688.03300000000002</v>
      </c>
      <c r="S35" s="36"/>
      <c r="T35" s="36">
        <f t="shared" si="11"/>
        <v>7.8100000000000591</v>
      </c>
      <c r="U35" s="107">
        <f t="shared" si="12"/>
        <v>1.1481528851567882E-2</v>
      </c>
      <c r="V35" s="23"/>
      <c r="W35" s="36">
        <f t="shared" si="49"/>
        <v>316.98</v>
      </c>
      <c r="X35" s="36">
        <f>($K$79*$D35)</f>
        <v>370.52300000000002</v>
      </c>
      <c r="Y35" s="36">
        <f t="shared" si="45"/>
        <v>687.50300000000004</v>
      </c>
      <c r="Z35" s="36"/>
      <c r="AA35" s="36">
        <f t="shared" si="16"/>
        <v>-0.52999999999997272</v>
      </c>
      <c r="AB35" s="107">
        <f t="shared" si="17"/>
        <v>-7.703118891099303E-4</v>
      </c>
      <c r="AC35" s="81"/>
      <c r="AD35" s="109"/>
    </row>
    <row r="36" spans="1:30" ht="14" x14ac:dyDescent="0.3">
      <c r="A36" s="67">
        <f t="shared" si="0"/>
        <v>36</v>
      </c>
      <c r="B36" s="102"/>
      <c r="C36" s="105">
        <v>15</v>
      </c>
      <c r="D36" s="106">
        <f t="shared" si="35"/>
        <v>3975</v>
      </c>
      <c r="E36" s="36">
        <f>ROUND($G$75+$G$78*$D36+IF($C36&gt;2,($C36-2)*$G$77+2*$G$76,$C36*$G$76),2)</f>
        <v>371.09</v>
      </c>
      <c r="F36" s="36">
        <f>($G$79*$D36)</f>
        <v>555.78449999999998</v>
      </c>
      <c r="G36" s="36">
        <f t="shared" si="37"/>
        <v>926.8744999999999</v>
      </c>
      <c r="H36" s="36"/>
      <c r="I36" s="36">
        <f>ROUND($I$75+$I$78*$D36+IF($C36&gt;2,($C36-2)*$I$77+2*$I$76,$C36*$I$76),2)</f>
        <v>444.66</v>
      </c>
      <c r="J36" s="36">
        <f t="shared" si="38"/>
        <v>555.78449999999998</v>
      </c>
      <c r="K36" s="36">
        <f t="shared" si="39"/>
        <v>1000.4445000000001</v>
      </c>
      <c r="L36" s="37"/>
      <c r="M36" s="36">
        <f t="shared" si="40"/>
        <v>73.570000000000164</v>
      </c>
      <c r="N36" s="39">
        <f t="shared" si="41"/>
        <v>7.9374284220787364E-2</v>
      </c>
      <c r="O36" s="39"/>
      <c r="P36" s="36">
        <f>ROUND($J$75+$J$78*$D36+IF($C36&gt;2,($C36-2)*$J$77+2*$J$76,$C36*$J$76),2)</f>
        <v>456.39</v>
      </c>
      <c r="Q36" s="36">
        <f t="shared" si="42"/>
        <v>555.78449999999998</v>
      </c>
      <c r="R36" s="36">
        <f t="shared" si="43"/>
        <v>1012.1745</v>
      </c>
      <c r="S36" s="36"/>
      <c r="T36" s="36">
        <f t="shared" si="11"/>
        <v>11.729999999999905</v>
      </c>
      <c r="U36" s="107">
        <f t="shared" si="12"/>
        <v>1.1724788331586513E-2</v>
      </c>
      <c r="V36" s="23"/>
      <c r="W36" s="36">
        <f t="shared" si="49"/>
        <v>455.6</v>
      </c>
      <c r="X36" s="36">
        <f>($K$79*$D36)</f>
        <v>555.78449999999998</v>
      </c>
      <c r="Y36" s="36">
        <f t="shared" si="45"/>
        <v>1011.3845</v>
      </c>
      <c r="Z36" s="36"/>
      <c r="AA36" s="36">
        <f t="shared" si="16"/>
        <v>-0.78999999999996362</v>
      </c>
      <c r="AB36" s="107">
        <f t="shared" si="17"/>
        <v>-7.8049782917862843E-4</v>
      </c>
      <c r="AC36" s="81"/>
      <c r="AD36" s="109"/>
    </row>
    <row r="37" spans="1:30" ht="14" x14ac:dyDescent="0.3">
      <c r="A37" s="67">
        <f t="shared" si="0"/>
        <v>37</v>
      </c>
      <c r="B37" s="102"/>
      <c r="C37" s="105">
        <v>35</v>
      </c>
      <c r="D37" s="106">
        <f t="shared" si="35"/>
        <v>9275</v>
      </c>
      <c r="E37" s="36">
        <f t="shared" si="46"/>
        <v>812.86</v>
      </c>
      <c r="F37" s="36">
        <f t="shared" si="36"/>
        <v>1296.8305</v>
      </c>
      <c r="G37" s="36">
        <f t="shared" si="37"/>
        <v>2109.6905000000002</v>
      </c>
      <c r="H37" s="36"/>
      <c r="I37" s="36">
        <f t="shared" si="47"/>
        <v>984.54</v>
      </c>
      <c r="J37" s="36">
        <f t="shared" si="38"/>
        <v>1296.8305</v>
      </c>
      <c r="K37" s="36">
        <f t="shared" si="39"/>
        <v>2281.3705</v>
      </c>
      <c r="L37" s="37"/>
      <c r="M37" s="36">
        <f t="shared" si="40"/>
        <v>171.67999999999984</v>
      </c>
      <c r="N37" s="39">
        <f t="shared" si="41"/>
        <v>8.1376865469129159E-2</v>
      </c>
      <c r="O37" s="39"/>
      <c r="P37" s="36">
        <f t="shared" si="48"/>
        <v>1011.9</v>
      </c>
      <c r="Q37" s="36">
        <f t="shared" si="42"/>
        <v>1296.8305</v>
      </c>
      <c r="R37" s="36">
        <f t="shared" si="43"/>
        <v>2308.7305000000001</v>
      </c>
      <c r="S37" s="36"/>
      <c r="T37" s="36">
        <f t="shared" si="11"/>
        <v>27.360000000000127</v>
      </c>
      <c r="U37" s="107">
        <f t="shared" si="12"/>
        <v>1.199279117530455E-2</v>
      </c>
      <c r="V37" s="23"/>
      <c r="W37" s="36">
        <f t="shared" si="49"/>
        <v>1010.04</v>
      </c>
      <c r="X37" s="36">
        <f t="shared" si="44"/>
        <v>1296.8305</v>
      </c>
      <c r="Y37" s="36">
        <f t="shared" si="45"/>
        <v>2306.8705</v>
      </c>
      <c r="Z37" s="36"/>
      <c r="AA37" s="36">
        <f t="shared" si="16"/>
        <v>-1.8600000000001273</v>
      </c>
      <c r="AB37" s="107">
        <f t="shared" si="17"/>
        <v>-8.0563755709041275E-4</v>
      </c>
      <c r="AC37" s="81"/>
      <c r="AD37" s="109"/>
    </row>
    <row r="38" spans="1:30" ht="14" x14ac:dyDescent="0.3">
      <c r="A38" s="67">
        <f t="shared" si="0"/>
        <v>38</v>
      </c>
      <c r="B38" s="71" t="s">
        <v>52</v>
      </c>
      <c r="C38" s="113">
        <v>12</v>
      </c>
      <c r="D38" s="106">
        <f t="shared" si="35"/>
        <v>3180</v>
      </c>
      <c r="E38" s="36">
        <f t="shared" si="46"/>
        <v>304.82</v>
      </c>
      <c r="F38" s="36">
        <f t="shared" si="36"/>
        <v>444.62759999999997</v>
      </c>
      <c r="G38" s="36">
        <f t="shared" si="37"/>
        <v>749.44759999999997</v>
      </c>
      <c r="H38" s="36"/>
      <c r="I38" s="36">
        <f t="shared" si="47"/>
        <v>363.68</v>
      </c>
      <c r="J38" s="36">
        <f t="shared" si="38"/>
        <v>444.62759999999997</v>
      </c>
      <c r="K38" s="36">
        <f t="shared" si="39"/>
        <v>808.30759999999998</v>
      </c>
      <c r="L38" s="37"/>
      <c r="M38" s="36">
        <f t="shared" si="40"/>
        <v>58.860000000000014</v>
      </c>
      <c r="N38" s="39">
        <f t="shared" si="41"/>
        <v>7.8537845741316697E-2</v>
      </c>
      <c r="O38" s="39"/>
      <c r="P38" s="36">
        <f t="shared" si="48"/>
        <v>373.06</v>
      </c>
      <c r="Q38" s="36">
        <f t="shared" si="42"/>
        <v>444.62759999999997</v>
      </c>
      <c r="R38" s="36">
        <f t="shared" si="43"/>
        <v>817.68759999999997</v>
      </c>
      <c r="S38" s="36"/>
      <c r="T38" s="36">
        <f t="shared" si="11"/>
        <v>9.3799999999999955</v>
      </c>
      <c r="U38" s="107">
        <f t="shared" si="12"/>
        <v>1.1604493140977513E-2</v>
      </c>
      <c r="V38" s="23"/>
      <c r="W38" s="36">
        <f t="shared" si="49"/>
        <v>372.43</v>
      </c>
      <c r="X38" s="36">
        <f t="shared" si="44"/>
        <v>444.62759999999997</v>
      </c>
      <c r="Y38" s="36">
        <f t="shared" si="45"/>
        <v>817.05759999999998</v>
      </c>
      <c r="Z38" s="36"/>
      <c r="AA38" s="36">
        <f t="shared" si="16"/>
        <v>-0.62999999999999545</v>
      </c>
      <c r="AB38" s="107">
        <f t="shared" si="17"/>
        <v>-7.7046539534168736E-4</v>
      </c>
      <c r="AC38" s="81"/>
      <c r="AD38" s="109"/>
    </row>
    <row r="39" spans="1:30" ht="14" x14ac:dyDescent="0.3">
      <c r="A39" s="67">
        <f t="shared" si="0"/>
        <v>39</v>
      </c>
      <c r="B39" s="71"/>
      <c r="C39" s="110"/>
      <c r="D39" s="110"/>
      <c r="E39" s="36"/>
      <c r="F39" s="36"/>
      <c r="G39" s="36"/>
      <c r="H39" s="114"/>
      <c r="I39" s="36"/>
      <c r="J39" s="36"/>
      <c r="K39" s="36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07"/>
      <c r="AD39" s="109"/>
    </row>
    <row r="40" spans="1:30" ht="14" x14ac:dyDescent="0.3">
      <c r="A40" s="67">
        <f t="shared" si="0"/>
        <v>40</v>
      </c>
      <c r="B40" s="102"/>
      <c r="C40" s="101"/>
      <c r="D40" s="110"/>
      <c r="E40" s="36"/>
      <c r="F40" s="36"/>
      <c r="G40" s="36"/>
      <c r="H40" s="114"/>
      <c r="I40" s="36"/>
      <c r="J40" s="36"/>
      <c r="K40" s="36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07"/>
    </row>
    <row r="41" spans="1:30" ht="14" x14ac:dyDescent="0.3">
      <c r="A41" s="67">
        <f t="shared" si="0"/>
        <v>41</v>
      </c>
      <c r="B41" s="102"/>
      <c r="C41" s="101" t="s">
        <v>53</v>
      </c>
      <c r="D41" s="101"/>
      <c r="E41" s="101"/>
      <c r="G41" s="45">
        <f>'EMA R1'!H28</f>
        <v>2024</v>
      </c>
      <c r="I41" s="45">
        <f>'EMA R1'!I28</f>
        <v>2025</v>
      </c>
      <c r="J41" s="45">
        <f>'EMA R1'!J28</f>
        <v>2026</v>
      </c>
      <c r="K41" s="45">
        <f>'EMA R1'!L28</f>
        <v>2027</v>
      </c>
      <c r="M41" s="45" t="str">
        <f>'EMA R1'!M28</f>
        <v>2025 v 2024</v>
      </c>
      <c r="N41" s="45" t="str">
        <f>'EMA R1'!O28</f>
        <v>2026 v 2025</v>
      </c>
      <c r="P41" s="45" t="str">
        <f>'EMA R1'!P28</f>
        <v>2027 v 2026</v>
      </c>
    </row>
    <row r="42" spans="1:30" ht="15.5" x14ac:dyDescent="0.45">
      <c r="A42" s="67">
        <f t="shared" si="0"/>
        <v>42</v>
      </c>
      <c r="B42" s="102"/>
      <c r="C42" s="23" t="s">
        <v>53</v>
      </c>
      <c r="D42" s="23"/>
      <c r="E42" s="101"/>
      <c r="G42" s="47" t="str">
        <f>+'WMA 23'!H24</f>
        <v>Rates</v>
      </c>
      <c r="H42" s="116"/>
      <c r="I42" s="47" t="s">
        <v>57</v>
      </c>
      <c r="J42" s="47" t="s">
        <v>57</v>
      </c>
      <c r="K42" s="47" t="s">
        <v>57</v>
      </c>
      <c r="L42" s="37"/>
      <c r="M42" s="48" t="s">
        <v>51</v>
      </c>
      <c r="N42" s="48" t="s">
        <v>51</v>
      </c>
      <c r="O42" s="22"/>
      <c r="P42" s="48" t="s">
        <v>51</v>
      </c>
    </row>
    <row r="43" spans="1:30" ht="14" x14ac:dyDescent="0.3">
      <c r="A43" s="67">
        <f t="shared" si="0"/>
        <v>43</v>
      </c>
      <c r="B43" s="102"/>
      <c r="C43" s="28" t="s">
        <v>58</v>
      </c>
      <c r="D43" s="28"/>
      <c r="E43" s="23"/>
      <c r="G43" s="88">
        <v>65</v>
      </c>
      <c r="H43" s="103"/>
      <c r="I43" s="49">
        <f t="shared" ref="I43:I73" si="50">+G43</f>
        <v>65</v>
      </c>
      <c r="J43" s="49">
        <f t="shared" ref="J43:J73" si="51">G43</f>
        <v>65</v>
      </c>
      <c r="K43" s="49">
        <f t="shared" ref="K43:K73" si="52">G43</f>
        <v>65</v>
      </c>
      <c r="L43" s="37"/>
      <c r="M43" s="50">
        <f t="shared" ref="M43:M73" si="53">+I43-G43</f>
        <v>0</v>
      </c>
      <c r="N43" s="50">
        <f t="shared" ref="N43:N73" si="54">+J43-I43</f>
        <v>0</v>
      </c>
      <c r="O43" s="50"/>
      <c r="P43" s="50">
        <f t="shared" ref="P43:P73" si="55">+K43-J43</f>
        <v>0</v>
      </c>
      <c r="Q43" s="89" t="s">
        <v>59</v>
      </c>
    </row>
    <row r="44" spans="1:30" ht="14" x14ac:dyDescent="0.3">
      <c r="A44" s="67">
        <f t="shared" si="0"/>
        <v>44</v>
      </c>
      <c r="B44" s="102"/>
      <c r="C44" s="101" t="s">
        <v>127</v>
      </c>
      <c r="D44" s="101"/>
      <c r="E44" s="23"/>
      <c r="G44" s="88">
        <v>0</v>
      </c>
      <c r="H44" s="103"/>
      <c r="I44" s="49">
        <f t="shared" si="50"/>
        <v>0</v>
      </c>
      <c r="J44" s="49">
        <f t="shared" si="51"/>
        <v>0</v>
      </c>
      <c r="K44" s="49">
        <f t="shared" si="52"/>
        <v>0</v>
      </c>
      <c r="L44" s="37"/>
      <c r="M44" s="50">
        <f t="shared" si="53"/>
        <v>0</v>
      </c>
      <c r="N44" s="50">
        <f t="shared" si="54"/>
        <v>0</v>
      </c>
      <c r="O44" s="50"/>
      <c r="P44" s="50">
        <f t="shared" si="55"/>
        <v>0</v>
      </c>
      <c r="Q44" s="89" t="s">
        <v>59</v>
      </c>
    </row>
    <row r="45" spans="1:30" ht="14" x14ac:dyDescent="0.3">
      <c r="A45" s="67">
        <f t="shared" si="0"/>
        <v>45</v>
      </c>
      <c r="B45" s="102"/>
      <c r="C45" s="117" t="s">
        <v>128</v>
      </c>
      <c r="D45" s="117"/>
      <c r="E45" s="23"/>
      <c r="G45" s="88">
        <v>5.71</v>
      </c>
      <c r="H45" s="103"/>
      <c r="I45" s="49">
        <f t="shared" si="50"/>
        <v>5.71</v>
      </c>
      <c r="J45" s="49">
        <f t="shared" si="51"/>
        <v>5.71</v>
      </c>
      <c r="K45" s="49">
        <f t="shared" si="52"/>
        <v>5.71</v>
      </c>
      <c r="L45" s="37"/>
      <c r="M45" s="50">
        <f t="shared" si="53"/>
        <v>0</v>
      </c>
      <c r="N45" s="50">
        <f t="shared" si="54"/>
        <v>0</v>
      </c>
      <c r="O45" s="50"/>
      <c r="P45" s="50">
        <f t="shared" si="55"/>
        <v>0</v>
      </c>
      <c r="Q45" s="89" t="s">
        <v>59</v>
      </c>
    </row>
    <row r="46" spans="1:30" ht="14" x14ac:dyDescent="0.3">
      <c r="A46" s="67">
        <f t="shared" si="0"/>
        <v>46</v>
      </c>
      <c r="B46" s="102"/>
      <c r="C46" s="28" t="s">
        <v>60</v>
      </c>
      <c r="D46" s="28"/>
      <c r="E46" s="23"/>
      <c r="G46" s="91">
        <v>8.8299999999999993E-3</v>
      </c>
      <c r="H46" s="118"/>
      <c r="I46" s="53">
        <f t="shared" si="50"/>
        <v>8.8299999999999993E-3</v>
      </c>
      <c r="J46" s="53">
        <f t="shared" si="51"/>
        <v>8.8299999999999993E-3</v>
      </c>
      <c r="K46" s="53">
        <f t="shared" si="52"/>
        <v>8.8299999999999993E-3</v>
      </c>
      <c r="L46" s="37"/>
      <c r="M46" s="54">
        <f t="shared" si="53"/>
        <v>0</v>
      </c>
      <c r="N46" s="54">
        <f t="shared" si="54"/>
        <v>0</v>
      </c>
      <c r="O46" s="54"/>
      <c r="P46" s="54">
        <f t="shared" si="55"/>
        <v>0</v>
      </c>
      <c r="Q46" s="89" t="s">
        <v>59</v>
      </c>
    </row>
    <row r="47" spans="1:30" ht="14" x14ac:dyDescent="0.3">
      <c r="A47" s="67">
        <f t="shared" si="0"/>
        <v>47</v>
      </c>
      <c r="B47" s="102"/>
      <c r="C47" s="44" t="str">
        <f>+'WMA 23'!C27</f>
        <v>Exogenous Cost Adjustment</v>
      </c>
      <c r="D47" s="28"/>
      <c r="E47" s="119"/>
      <c r="G47" s="91">
        <v>7.5000000000000002E-4</v>
      </c>
      <c r="H47" s="92"/>
      <c r="I47" s="53">
        <f t="shared" si="50"/>
        <v>7.5000000000000002E-4</v>
      </c>
      <c r="J47" s="53">
        <f t="shared" si="51"/>
        <v>7.5000000000000002E-4</v>
      </c>
      <c r="K47" s="53">
        <f t="shared" si="52"/>
        <v>7.5000000000000002E-4</v>
      </c>
      <c r="L47" s="37"/>
      <c r="M47" s="54">
        <f t="shared" si="53"/>
        <v>0</v>
      </c>
      <c r="N47" s="54">
        <f t="shared" si="54"/>
        <v>0</v>
      </c>
      <c r="O47" s="54"/>
      <c r="P47" s="54">
        <f t="shared" si="55"/>
        <v>0</v>
      </c>
      <c r="Q47" s="89" t="str">
        <f>+'WMA 23'!Q27</f>
        <v>ECA</v>
      </c>
    </row>
    <row r="48" spans="1:30" ht="14" x14ac:dyDescent="0.3">
      <c r="A48" s="67">
        <f t="shared" si="0"/>
        <v>48</v>
      </c>
      <c r="B48" s="102"/>
      <c r="C48" s="44" t="str">
        <f>+'WMA 23'!C28</f>
        <v>Revenue Decoupling</v>
      </c>
      <c r="D48" s="28"/>
      <c r="E48" s="23"/>
      <c r="G48" s="91">
        <v>4.0000000000000003E-5</v>
      </c>
      <c r="H48" s="92"/>
      <c r="I48" s="53">
        <f t="shared" si="50"/>
        <v>4.0000000000000003E-5</v>
      </c>
      <c r="J48" s="53">
        <f t="shared" si="51"/>
        <v>4.0000000000000003E-5</v>
      </c>
      <c r="K48" s="53">
        <f t="shared" si="52"/>
        <v>4.0000000000000003E-5</v>
      </c>
      <c r="L48" s="37"/>
      <c r="M48" s="54">
        <f t="shared" si="53"/>
        <v>0</v>
      </c>
      <c r="N48" s="54">
        <f t="shared" si="54"/>
        <v>0</v>
      </c>
      <c r="O48" s="54"/>
      <c r="P48" s="54">
        <f t="shared" si="55"/>
        <v>0</v>
      </c>
      <c r="Q48" s="89" t="str">
        <f>+'WMA 23'!Q28</f>
        <v>RDAF</v>
      </c>
    </row>
    <row r="49" spans="1:17" ht="14" x14ac:dyDescent="0.3">
      <c r="A49" s="67">
        <f t="shared" si="0"/>
        <v>49</v>
      </c>
      <c r="B49" s="102"/>
      <c r="C49" s="44" t="str">
        <f>+'WMA 23'!C29</f>
        <v>Distributed Solar Charge</v>
      </c>
      <c r="D49" s="28"/>
      <c r="E49" s="23"/>
      <c r="G49" s="91">
        <v>5.8999999999999999E-3</v>
      </c>
      <c r="H49" s="92"/>
      <c r="I49" s="53">
        <f t="shared" si="50"/>
        <v>5.8999999999999999E-3</v>
      </c>
      <c r="J49" s="53">
        <f t="shared" si="51"/>
        <v>5.8999999999999999E-3</v>
      </c>
      <c r="K49" s="53">
        <f t="shared" si="52"/>
        <v>5.8999999999999999E-3</v>
      </c>
      <c r="L49" s="37"/>
      <c r="M49" s="54">
        <f t="shared" si="53"/>
        <v>0</v>
      </c>
      <c r="N49" s="54">
        <f t="shared" si="54"/>
        <v>0</v>
      </c>
      <c r="O49" s="54"/>
      <c r="P49" s="54">
        <f t="shared" si="55"/>
        <v>0</v>
      </c>
      <c r="Q49" s="89" t="str">
        <f>+'WMA 23'!Q29</f>
        <v>SMART</v>
      </c>
    </row>
    <row r="50" spans="1:17" ht="14" x14ac:dyDescent="0.3">
      <c r="A50" s="67">
        <f t="shared" si="0"/>
        <v>50</v>
      </c>
      <c r="B50" s="102"/>
      <c r="C50" s="44" t="str">
        <f>+'WMA 23'!C30</f>
        <v>Residential Assistance Adjustment Factor</v>
      </c>
      <c r="D50" s="28"/>
      <c r="E50" s="23"/>
      <c r="G50" s="53">
        <v>6.0200000000000002E-3</v>
      </c>
      <c r="H50" s="92"/>
      <c r="I50" s="53">
        <f t="shared" si="50"/>
        <v>6.0200000000000002E-3</v>
      </c>
      <c r="J50" s="53">
        <f t="shared" si="51"/>
        <v>6.0200000000000002E-3</v>
      </c>
      <c r="K50" s="53">
        <f t="shared" si="52"/>
        <v>6.0200000000000002E-3</v>
      </c>
      <c r="L50" s="37"/>
      <c r="M50" s="54">
        <f t="shared" si="53"/>
        <v>0</v>
      </c>
      <c r="N50" s="54">
        <f t="shared" si="54"/>
        <v>0</v>
      </c>
      <c r="O50" s="54"/>
      <c r="P50" s="54">
        <f t="shared" si="55"/>
        <v>0</v>
      </c>
      <c r="Q50" s="89" t="str">
        <f>+'WMA 23'!Q30</f>
        <v>RAAF</v>
      </c>
    </row>
    <row r="51" spans="1:17" ht="14" x14ac:dyDescent="0.3">
      <c r="A51" s="67">
        <f t="shared" si="0"/>
        <v>51</v>
      </c>
      <c r="B51" s="102"/>
      <c r="C51" s="44" t="str">
        <f>+'WMA 23'!C31</f>
        <v>Pension Adjustment Factor</v>
      </c>
      <c r="D51" s="28"/>
      <c r="E51" s="119"/>
      <c r="G51" s="53">
        <v>5.8E-4</v>
      </c>
      <c r="H51" s="92"/>
      <c r="I51" s="53">
        <f t="shared" si="50"/>
        <v>5.8E-4</v>
      </c>
      <c r="J51" s="53">
        <f t="shared" si="51"/>
        <v>5.8E-4</v>
      </c>
      <c r="K51" s="53">
        <f t="shared" si="52"/>
        <v>5.8E-4</v>
      </c>
      <c r="L51" s="37"/>
      <c r="M51" s="54">
        <f t="shared" si="53"/>
        <v>0</v>
      </c>
      <c r="N51" s="54">
        <f t="shared" si="54"/>
        <v>0</v>
      </c>
      <c r="O51" s="54"/>
      <c r="P51" s="54">
        <f t="shared" si="55"/>
        <v>0</v>
      </c>
      <c r="Q51" s="89" t="str">
        <f>+'WMA 23'!Q31</f>
        <v>PAF</v>
      </c>
    </row>
    <row r="52" spans="1:17" ht="14" x14ac:dyDescent="0.3">
      <c r="A52" s="67">
        <f t="shared" si="0"/>
        <v>52</v>
      </c>
      <c r="B52" s="102"/>
      <c r="C52" s="44" t="str">
        <f>+'WMA 23'!C32</f>
        <v>Net Metering Recovery Surcharge</v>
      </c>
      <c r="D52" s="28"/>
      <c r="E52" s="23"/>
      <c r="G52" s="91">
        <v>1.197E-2</v>
      </c>
      <c r="H52" s="92"/>
      <c r="I52" s="53">
        <f t="shared" si="50"/>
        <v>1.197E-2</v>
      </c>
      <c r="J52" s="53">
        <f t="shared" si="51"/>
        <v>1.197E-2</v>
      </c>
      <c r="K52" s="53">
        <f t="shared" si="52"/>
        <v>1.197E-2</v>
      </c>
      <c r="L52" s="37"/>
      <c r="M52" s="54">
        <f t="shared" si="53"/>
        <v>0</v>
      </c>
      <c r="N52" s="54">
        <f t="shared" si="54"/>
        <v>0</v>
      </c>
      <c r="O52" s="54"/>
      <c r="P52" s="54">
        <f t="shared" si="55"/>
        <v>0</v>
      </c>
      <c r="Q52" s="89" t="str">
        <f>+'WMA 23'!Q32</f>
        <v>NMRS</v>
      </c>
    </row>
    <row r="53" spans="1:17" ht="14" x14ac:dyDescent="0.3">
      <c r="A53" s="67">
        <f t="shared" si="0"/>
        <v>53</v>
      </c>
      <c r="B53" s="102"/>
      <c r="C53" s="44" t="str">
        <f>+'WMA 23'!C33</f>
        <v>Long Term Renewable Contract Adjustment</v>
      </c>
      <c r="D53" s="28"/>
      <c r="E53" s="23"/>
      <c r="G53" s="53">
        <v>-1.9300000000000001E-3</v>
      </c>
      <c r="H53" s="92"/>
      <c r="I53" s="53">
        <f t="shared" si="50"/>
        <v>-1.9300000000000001E-3</v>
      </c>
      <c r="J53" s="53">
        <f t="shared" si="51"/>
        <v>-1.9300000000000001E-3</v>
      </c>
      <c r="K53" s="53">
        <f t="shared" si="52"/>
        <v>-1.9300000000000001E-3</v>
      </c>
      <c r="L53" s="37"/>
      <c r="M53" s="54">
        <f t="shared" si="53"/>
        <v>0</v>
      </c>
      <c r="N53" s="54">
        <f t="shared" si="54"/>
        <v>0</v>
      </c>
      <c r="O53" s="54"/>
      <c r="P53" s="54">
        <f t="shared" si="55"/>
        <v>0</v>
      </c>
      <c r="Q53" s="89" t="str">
        <f>+'WMA 23'!Q33</f>
        <v>LTRCA</v>
      </c>
    </row>
    <row r="54" spans="1:17" ht="14" x14ac:dyDescent="0.3">
      <c r="A54" s="67">
        <f t="shared" si="0"/>
        <v>54</v>
      </c>
      <c r="B54" s="102"/>
      <c r="C54" s="44" t="str">
        <f>+'WMA 23'!C34</f>
        <v>AG Consulting Expense</v>
      </c>
      <c r="D54" s="28"/>
      <c r="E54" s="23"/>
      <c r="G54" s="53">
        <v>4.0000000000000003E-5</v>
      </c>
      <c r="H54" s="92"/>
      <c r="I54" s="53">
        <f t="shared" si="50"/>
        <v>4.0000000000000003E-5</v>
      </c>
      <c r="J54" s="53">
        <f t="shared" si="51"/>
        <v>4.0000000000000003E-5</v>
      </c>
      <c r="K54" s="53">
        <f t="shared" si="52"/>
        <v>4.0000000000000003E-5</v>
      </c>
      <c r="L54" s="37"/>
      <c r="M54" s="54">
        <f t="shared" si="53"/>
        <v>0</v>
      </c>
      <c r="N54" s="54">
        <f t="shared" si="54"/>
        <v>0</v>
      </c>
      <c r="O54" s="54"/>
      <c r="P54" s="54">
        <f t="shared" si="55"/>
        <v>0</v>
      </c>
      <c r="Q54" s="89" t="str">
        <f>+'WMA 23'!Q34</f>
        <v>AGCE</v>
      </c>
    </row>
    <row r="55" spans="1:17" ht="14" x14ac:dyDescent="0.3">
      <c r="A55" s="67">
        <f t="shared" si="0"/>
        <v>55</v>
      </c>
      <c r="B55" s="102"/>
      <c r="C55" s="44" t="str">
        <f>+'WMA 23'!C35</f>
        <v>Storm Cost Recovery Adjustment Factor</v>
      </c>
      <c r="D55" s="28"/>
      <c r="E55" s="23"/>
      <c r="G55" s="53">
        <v>4.8900000000000002E-3</v>
      </c>
      <c r="H55" s="92"/>
      <c r="I55" s="53">
        <f t="shared" si="50"/>
        <v>4.8900000000000002E-3</v>
      </c>
      <c r="J55" s="53">
        <f t="shared" si="51"/>
        <v>4.8900000000000002E-3</v>
      </c>
      <c r="K55" s="53">
        <f t="shared" si="52"/>
        <v>4.8900000000000002E-3</v>
      </c>
      <c r="L55" s="37"/>
      <c r="M55" s="54">
        <f t="shared" si="53"/>
        <v>0</v>
      </c>
      <c r="N55" s="54">
        <f t="shared" si="54"/>
        <v>0</v>
      </c>
      <c r="O55" s="54"/>
      <c r="P55" s="54">
        <f t="shared" si="55"/>
        <v>0</v>
      </c>
      <c r="Q55" s="89" t="str">
        <f>+'WMA 23'!Q35</f>
        <v>SCRA</v>
      </c>
    </row>
    <row r="56" spans="1:17" ht="14" x14ac:dyDescent="0.3">
      <c r="A56" s="67">
        <f t="shared" si="0"/>
        <v>56</v>
      </c>
      <c r="B56" s="102"/>
      <c r="C56" s="44" t="str">
        <f>+'WMA 23'!C36</f>
        <v>Storm Reserve Adjustment</v>
      </c>
      <c r="D56" s="28"/>
      <c r="E56" s="23"/>
      <c r="G56" s="53">
        <v>0</v>
      </c>
      <c r="H56" s="92"/>
      <c r="I56" s="53">
        <f t="shared" si="50"/>
        <v>0</v>
      </c>
      <c r="J56" s="53">
        <f t="shared" si="51"/>
        <v>0</v>
      </c>
      <c r="K56" s="53">
        <f t="shared" si="52"/>
        <v>0</v>
      </c>
      <c r="L56" s="37"/>
      <c r="M56" s="54">
        <f t="shared" si="53"/>
        <v>0</v>
      </c>
      <c r="N56" s="54">
        <f t="shared" si="54"/>
        <v>0</v>
      </c>
      <c r="O56" s="54"/>
      <c r="P56" s="54">
        <f t="shared" si="55"/>
        <v>0</v>
      </c>
      <c r="Q56" s="89" t="str">
        <f>+'WMA 23'!Q36</f>
        <v>SRA</v>
      </c>
    </row>
    <row r="57" spans="1:17" ht="14" x14ac:dyDescent="0.3">
      <c r="A57" s="67">
        <f t="shared" si="0"/>
        <v>57</v>
      </c>
      <c r="B57" s="102"/>
      <c r="C57" s="44" t="str">
        <f>+'WMA 23'!C37</f>
        <v>Basic Service Cost True Up Factor</v>
      </c>
      <c r="D57" s="28"/>
      <c r="E57" s="23"/>
      <c r="G57" s="53">
        <v>-3.4000000000000002E-4</v>
      </c>
      <c r="H57" s="92"/>
      <c r="I57" s="53">
        <f t="shared" si="50"/>
        <v>-3.4000000000000002E-4</v>
      </c>
      <c r="J57" s="53">
        <f t="shared" si="51"/>
        <v>-3.4000000000000002E-4</v>
      </c>
      <c r="K57" s="53">
        <f t="shared" si="52"/>
        <v>-3.4000000000000002E-4</v>
      </c>
      <c r="L57" s="37"/>
      <c r="M57" s="54">
        <f t="shared" si="53"/>
        <v>0</v>
      </c>
      <c r="N57" s="54">
        <f t="shared" si="54"/>
        <v>0</v>
      </c>
      <c r="O57" s="54"/>
      <c r="P57" s="54">
        <f t="shared" si="55"/>
        <v>0</v>
      </c>
      <c r="Q57" s="89" t="str">
        <f>+'WMA 23'!Q37</f>
        <v>BSTF</v>
      </c>
    </row>
    <row r="58" spans="1:17" ht="14" x14ac:dyDescent="0.3">
      <c r="A58" s="67">
        <f t="shared" si="0"/>
        <v>58</v>
      </c>
      <c r="B58" s="102"/>
      <c r="C58" s="44" t="str">
        <f>+'WMA 23'!C38</f>
        <v>Solar Program Cost Adjustment Factor</v>
      </c>
      <c r="D58" s="28"/>
      <c r="E58" s="23"/>
      <c r="G58" s="53">
        <v>1.0000000000000001E-5</v>
      </c>
      <c r="H58" s="92"/>
      <c r="I58" s="53">
        <f t="shared" si="50"/>
        <v>1.0000000000000001E-5</v>
      </c>
      <c r="J58" s="53">
        <f t="shared" si="51"/>
        <v>1.0000000000000001E-5</v>
      </c>
      <c r="K58" s="53">
        <f t="shared" si="52"/>
        <v>1.0000000000000001E-5</v>
      </c>
      <c r="L58" s="37"/>
      <c r="M58" s="54">
        <f t="shared" si="53"/>
        <v>0</v>
      </c>
      <c r="N58" s="54">
        <f t="shared" si="54"/>
        <v>0</v>
      </c>
      <c r="O58" s="54"/>
      <c r="P58" s="54">
        <f t="shared" si="55"/>
        <v>0</v>
      </c>
      <c r="Q58" s="89" t="str">
        <f>+'WMA 23'!Q38</f>
        <v>SPCA</v>
      </c>
    </row>
    <row r="59" spans="1:17" ht="14" x14ac:dyDescent="0.3">
      <c r="A59" s="67">
        <f t="shared" si="0"/>
        <v>59</v>
      </c>
      <c r="B59" s="102"/>
      <c r="C59" s="44" t="str">
        <f>+'WMA 23'!C39</f>
        <v>Solar Expansion Cost Recovery Factor</v>
      </c>
      <c r="D59" s="37"/>
      <c r="E59" s="37"/>
      <c r="F59" s="53"/>
      <c r="G59" s="53">
        <v>-3.6999999999999999E-4</v>
      </c>
      <c r="H59" s="92"/>
      <c r="I59" s="53">
        <f t="shared" si="50"/>
        <v>-3.6999999999999999E-4</v>
      </c>
      <c r="J59" s="53">
        <f t="shared" si="51"/>
        <v>-3.6999999999999999E-4</v>
      </c>
      <c r="K59" s="53">
        <f t="shared" si="52"/>
        <v>-3.6999999999999999E-4</v>
      </c>
      <c r="L59" s="37"/>
      <c r="M59" s="54">
        <f t="shared" si="53"/>
        <v>0</v>
      </c>
      <c r="N59" s="54">
        <f t="shared" si="54"/>
        <v>0</v>
      </c>
      <c r="O59" s="54"/>
      <c r="P59" s="54">
        <f t="shared" si="55"/>
        <v>0</v>
      </c>
      <c r="Q59" s="89" t="str">
        <f>+'WMA 23'!Q39</f>
        <v>SECRF</v>
      </c>
    </row>
    <row r="60" spans="1:17" ht="14" x14ac:dyDescent="0.3">
      <c r="A60" s="67">
        <f t="shared" si="0"/>
        <v>60</v>
      </c>
      <c r="B60" s="102"/>
      <c r="C60" s="44" t="str">
        <f>+'WMA 23'!C40</f>
        <v>Vegetation Management</v>
      </c>
      <c r="D60" s="37"/>
      <c r="E60" s="37"/>
      <c r="F60" s="53"/>
      <c r="G60" s="53">
        <v>1.2999999999999999E-3</v>
      </c>
      <c r="H60" s="92"/>
      <c r="I60" s="53">
        <f t="shared" si="50"/>
        <v>1.2999999999999999E-3</v>
      </c>
      <c r="J60" s="53">
        <f t="shared" si="51"/>
        <v>1.2999999999999999E-3</v>
      </c>
      <c r="K60" s="53">
        <f t="shared" si="52"/>
        <v>1.2999999999999999E-3</v>
      </c>
      <c r="L60" s="37"/>
      <c r="M60" s="54">
        <f t="shared" si="53"/>
        <v>0</v>
      </c>
      <c r="N60" s="54">
        <f t="shared" si="54"/>
        <v>0</v>
      </c>
      <c r="O60" s="54"/>
      <c r="P60" s="54">
        <f t="shared" si="55"/>
        <v>0</v>
      </c>
      <c r="Q60" s="89" t="str">
        <f>+'WMA 23'!Q40</f>
        <v>RTWF</v>
      </c>
    </row>
    <row r="61" spans="1:17" ht="14" x14ac:dyDescent="0.3">
      <c r="A61" s="67">
        <f t="shared" si="0"/>
        <v>61</v>
      </c>
      <c r="B61" s="102"/>
      <c r="C61" s="44" t="str">
        <f>+'WMA 23'!C41</f>
        <v>Tax Act Credit Factor</v>
      </c>
      <c r="D61" s="28"/>
      <c r="E61" s="120"/>
      <c r="G61" s="53">
        <v>-1.33E-3</v>
      </c>
      <c r="H61" s="92"/>
      <c r="I61" s="53">
        <f t="shared" si="50"/>
        <v>-1.33E-3</v>
      </c>
      <c r="J61" s="53">
        <f t="shared" si="51"/>
        <v>-1.33E-3</v>
      </c>
      <c r="K61" s="53">
        <f t="shared" si="52"/>
        <v>-1.33E-3</v>
      </c>
      <c r="L61" s="37"/>
      <c r="M61" s="54">
        <f t="shared" si="53"/>
        <v>0</v>
      </c>
      <c r="N61" s="54">
        <f t="shared" si="54"/>
        <v>0</v>
      </c>
      <c r="O61" s="54"/>
      <c r="P61" s="54">
        <f t="shared" si="55"/>
        <v>0</v>
      </c>
      <c r="Q61" s="89" t="str">
        <f>+'WMA 23'!Q41</f>
        <v>TACF</v>
      </c>
    </row>
    <row r="62" spans="1:17" ht="14" x14ac:dyDescent="0.3">
      <c r="A62" s="67">
        <f t="shared" si="0"/>
        <v>62</v>
      </c>
      <c r="B62" s="102"/>
      <c r="C62" s="44" t="str">
        <f>+'WMA 23'!C42</f>
        <v>Grid Modernization</v>
      </c>
      <c r="D62" s="28"/>
      <c r="G62" s="53">
        <v>1.65E-3</v>
      </c>
      <c r="H62" s="92"/>
      <c r="I62" s="53">
        <f t="shared" si="50"/>
        <v>1.65E-3</v>
      </c>
      <c r="J62" s="53">
        <f t="shared" si="51"/>
        <v>1.65E-3</v>
      </c>
      <c r="K62" s="53">
        <f t="shared" si="52"/>
        <v>1.65E-3</v>
      </c>
      <c r="L62" s="37"/>
      <c r="M62" s="54">
        <f t="shared" si="53"/>
        <v>0</v>
      </c>
      <c r="N62" s="54">
        <f t="shared" si="54"/>
        <v>0</v>
      </c>
      <c r="O62" s="54"/>
      <c r="P62" s="54">
        <f t="shared" si="55"/>
        <v>0</v>
      </c>
      <c r="Q62" s="89" t="str">
        <f>+'WMA 23'!Q42</f>
        <v>GMOD</v>
      </c>
    </row>
    <row r="63" spans="1:17" ht="14" x14ac:dyDescent="0.3">
      <c r="A63" s="67">
        <f t="shared" si="0"/>
        <v>63</v>
      </c>
      <c r="B63" s="102"/>
      <c r="C63" s="44" t="str">
        <f>+'WMA 23'!C43</f>
        <v>Advanced Metering Infrastructure</v>
      </c>
      <c r="D63" s="28"/>
      <c r="G63" s="53">
        <v>2.1900000000000001E-3</v>
      </c>
      <c r="H63" s="92"/>
      <c r="I63" s="53">
        <f t="shared" si="50"/>
        <v>2.1900000000000001E-3</v>
      </c>
      <c r="J63" s="53">
        <f t="shared" si="51"/>
        <v>2.1900000000000001E-3</v>
      </c>
      <c r="K63" s="53">
        <f t="shared" si="52"/>
        <v>2.1900000000000001E-3</v>
      </c>
      <c r="L63" s="37"/>
      <c r="M63" s="54">
        <f t="shared" si="53"/>
        <v>0</v>
      </c>
      <c r="N63" s="54">
        <f t="shared" si="54"/>
        <v>0</v>
      </c>
      <c r="O63" s="54"/>
      <c r="P63" s="54">
        <f t="shared" si="55"/>
        <v>0</v>
      </c>
      <c r="Q63" s="89" t="str">
        <f>+'WMA 23'!Q43</f>
        <v>AMIF</v>
      </c>
    </row>
    <row r="64" spans="1:17" ht="14" x14ac:dyDescent="0.3">
      <c r="A64" s="67">
        <f t="shared" si="0"/>
        <v>64</v>
      </c>
      <c r="B64" s="102"/>
      <c r="C64" s="44" t="str">
        <f>+'WMA 23'!C44</f>
        <v>Electronic Payment Recovery</v>
      </c>
      <c r="D64" s="28"/>
      <c r="G64" s="53">
        <v>0</v>
      </c>
      <c r="H64" s="92"/>
      <c r="I64" s="53">
        <f t="shared" si="50"/>
        <v>0</v>
      </c>
      <c r="J64" s="53">
        <f t="shared" si="51"/>
        <v>0</v>
      </c>
      <c r="K64" s="53">
        <f t="shared" si="52"/>
        <v>0</v>
      </c>
      <c r="L64" s="37"/>
      <c r="M64" s="54">
        <f t="shared" si="53"/>
        <v>0</v>
      </c>
      <c r="N64" s="54">
        <f t="shared" si="54"/>
        <v>0</v>
      </c>
      <c r="O64" s="54"/>
      <c r="P64" s="54">
        <f t="shared" si="55"/>
        <v>0</v>
      </c>
      <c r="Q64" s="89" t="str">
        <f>+'WMA 23'!Q44</f>
        <v>EPR</v>
      </c>
    </row>
    <row r="65" spans="1:17" ht="14" x14ac:dyDescent="0.3">
      <c r="A65" s="67">
        <f t="shared" si="0"/>
        <v>65</v>
      </c>
      <c r="B65" s="102"/>
      <c r="C65" s="44" t="str">
        <f>+'WMA 23'!C45</f>
        <v>Provisional System Planning Factor</v>
      </c>
      <c r="D65" s="28"/>
      <c r="G65" s="53">
        <v>0</v>
      </c>
      <c r="H65" s="92"/>
      <c r="I65" s="53">
        <f t="shared" si="50"/>
        <v>0</v>
      </c>
      <c r="J65" s="53">
        <f t="shared" si="51"/>
        <v>0</v>
      </c>
      <c r="K65" s="53">
        <f t="shared" si="52"/>
        <v>0</v>
      </c>
      <c r="L65" s="37"/>
      <c r="M65" s="54">
        <f t="shared" si="53"/>
        <v>0</v>
      </c>
      <c r="N65" s="54">
        <f t="shared" si="54"/>
        <v>0</v>
      </c>
      <c r="O65" s="54"/>
      <c r="P65" s="54">
        <f t="shared" si="55"/>
        <v>0</v>
      </c>
      <c r="Q65" s="89" t="str">
        <f>+'WMA 23'!Q45</f>
        <v>PSPF</v>
      </c>
    </row>
    <row r="66" spans="1:17" ht="14" x14ac:dyDescent="0.3">
      <c r="A66" s="67">
        <f t="shared" si="0"/>
        <v>66</v>
      </c>
      <c r="B66" s="102"/>
      <c r="C66" s="44" t="str">
        <f>+'WMA 23'!C46</f>
        <v>Electric Vehicle Factor</v>
      </c>
      <c r="D66" s="28"/>
      <c r="G66" s="53">
        <v>1.0300000000000001E-3</v>
      </c>
      <c r="H66" s="92"/>
      <c r="I66" s="53">
        <f t="shared" si="50"/>
        <v>1.0300000000000001E-3</v>
      </c>
      <c r="J66" s="53">
        <f t="shared" si="51"/>
        <v>1.0300000000000001E-3</v>
      </c>
      <c r="K66" s="53">
        <f t="shared" si="52"/>
        <v>1.0300000000000001E-3</v>
      </c>
      <c r="L66" s="37"/>
      <c r="M66" s="54">
        <f t="shared" si="53"/>
        <v>0</v>
      </c>
      <c r="N66" s="54">
        <f t="shared" si="54"/>
        <v>0</v>
      </c>
      <c r="O66" s="54"/>
      <c r="P66" s="54">
        <f t="shared" si="55"/>
        <v>0</v>
      </c>
      <c r="Q66" s="89" t="str">
        <f>+'WMA 23'!Q46</f>
        <v>EVF</v>
      </c>
    </row>
    <row r="67" spans="1:17" ht="14" x14ac:dyDescent="0.3">
      <c r="A67" s="67">
        <f t="shared" ref="A67:A73" si="56">A66+1</f>
        <v>67</v>
      </c>
      <c r="B67" s="102"/>
      <c r="C67" s="44" t="str">
        <f>+'WMA 23'!C47</f>
        <v>Transition</v>
      </c>
      <c r="D67" s="28"/>
      <c r="E67" s="119"/>
      <c r="G67" s="53">
        <v>-3.6999999999999999E-4</v>
      </c>
      <c r="H67" s="92"/>
      <c r="I67" s="53">
        <f t="shared" si="50"/>
        <v>-3.6999999999999999E-4</v>
      </c>
      <c r="J67" s="53">
        <f t="shared" si="51"/>
        <v>-3.6999999999999999E-4</v>
      </c>
      <c r="K67" s="53">
        <f t="shared" si="52"/>
        <v>-3.6999999999999999E-4</v>
      </c>
      <c r="L67" s="37"/>
      <c r="M67" s="54">
        <f t="shared" si="53"/>
        <v>0</v>
      </c>
      <c r="N67" s="54">
        <f t="shared" si="54"/>
        <v>0</v>
      </c>
      <c r="O67" s="54"/>
      <c r="P67" s="54">
        <f t="shared" si="55"/>
        <v>0</v>
      </c>
      <c r="Q67" s="89" t="str">
        <f>+'WMA 23'!Q47</f>
        <v>TRNSN</v>
      </c>
    </row>
    <row r="68" spans="1:17" ht="14" x14ac:dyDescent="0.3">
      <c r="A68" s="67">
        <f t="shared" si="56"/>
        <v>68</v>
      </c>
      <c r="B68" s="102"/>
      <c r="C68" s="28" t="s">
        <v>129</v>
      </c>
      <c r="D68" s="28"/>
      <c r="E68" s="23"/>
      <c r="G68" s="49">
        <v>0</v>
      </c>
      <c r="H68" s="92"/>
      <c r="I68" s="49">
        <f t="shared" si="50"/>
        <v>0</v>
      </c>
      <c r="J68" s="49">
        <f t="shared" si="51"/>
        <v>0</v>
      </c>
      <c r="K68" s="49">
        <f t="shared" si="52"/>
        <v>0</v>
      </c>
      <c r="L68" s="37"/>
      <c r="M68" s="50">
        <f t="shared" si="53"/>
        <v>0</v>
      </c>
      <c r="N68" s="50">
        <f t="shared" si="54"/>
        <v>0</v>
      </c>
      <c r="O68" s="50"/>
      <c r="P68" s="50">
        <f t="shared" si="55"/>
        <v>0</v>
      </c>
      <c r="Q68" s="51" t="s">
        <v>104</v>
      </c>
    </row>
    <row r="69" spans="1:17" ht="14" x14ac:dyDescent="0.3">
      <c r="A69" s="67">
        <f t="shared" si="56"/>
        <v>69</v>
      </c>
      <c r="B69" s="102"/>
      <c r="C69" s="28" t="s">
        <v>130</v>
      </c>
      <c r="D69" s="28"/>
      <c r="E69" s="23"/>
      <c r="G69" s="88">
        <v>6.91</v>
      </c>
      <c r="H69" s="103"/>
      <c r="I69" s="49">
        <f t="shared" si="50"/>
        <v>6.91</v>
      </c>
      <c r="J69" s="49">
        <f t="shared" si="51"/>
        <v>6.91</v>
      </c>
      <c r="K69" s="49">
        <f t="shared" si="52"/>
        <v>6.91</v>
      </c>
      <c r="L69" s="37"/>
      <c r="M69" s="50">
        <f t="shared" si="53"/>
        <v>0</v>
      </c>
      <c r="N69" s="50">
        <f t="shared" si="54"/>
        <v>0</v>
      </c>
      <c r="O69" s="50"/>
      <c r="P69" s="50">
        <f t="shared" si="55"/>
        <v>0</v>
      </c>
      <c r="Q69" s="51" t="s">
        <v>104</v>
      </c>
    </row>
    <row r="70" spans="1:17" ht="14" x14ac:dyDescent="0.3">
      <c r="A70" s="67">
        <f t="shared" si="56"/>
        <v>70</v>
      </c>
      <c r="B70" s="102"/>
      <c r="C70" s="28" t="s">
        <v>105</v>
      </c>
      <c r="D70" s="28"/>
      <c r="E70" s="119"/>
      <c r="G70" s="53">
        <v>-8.1300000000000001E-3</v>
      </c>
      <c r="H70" s="92"/>
      <c r="I70" s="53">
        <v>1.038E-2</v>
      </c>
      <c r="J70" s="53">
        <v>1.333E-2</v>
      </c>
      <c r="K70" s="53">
        <v>1.3129999999999999E-2</v>
      </c>
      <c r="L70" s="37"/>
      <c r="M70" s="54">
        <f t="shared" si="53"/>
        <v>1.8509999999999999E-2</v>
      </c>
      <c r="N70" s="54">
        <f t="shared" si="54"/>
        <v>2.9499999999999995E-3</v>
      </c>
      <c r="O70" s="54"/>
      <c r="P70" s="54">
        <f t="shared" si="55"/>
        <v>-2.0000000000000052E-4</v>
      </c>
      <c r="Q70" s="89" t="s">
        <v>106</v>
      </c>
    </row>
    <row r="71" spans="1:17" ht="14" x14ac:dyDescent="0.3">
      <c r="A71" s="67">
        <f t="shared" si="56"/>
        <v>71</v>
      </c>
      <c r="B71" s="102"/>
      <c r="C71" s="101" t="s">
        <v>107</v>
      </c>
      <c r="D71" s="101"/>
      <c r="E71" s="101"/>
      <c r="F71" s="121"/>
      <c r="G71" s="53">
        <v>2.5000000000000001E-3</v>
      </c>
      <c r="H71" s="92"/>
      <c r="I71" s="91">
        <f t="shared" si="50"/>
        <v>2.5000000000000001E-3</v>
      </c>
      <c r="J71" s="53">
        <f t="shared" si="51"/>
        <v>2.5000000000000001E-3</v>
      </c>
      <c r="K71" s="53">
        <f t="shared" si="52"/>
        <v>2.5000000000000001E-3</v>
      </c>
      <c r="M71" s="54">
        <f t="shared" si="53"/>
        <v>0</v>
      </c>
      <c r="N71" s="54">
        <f t="shared" si="54"/>
        <v>0</v>
      </c>
      <c r="O71" s="54"/>
      <c r="P71" s="54">
        <f t="shared" si="55"/>
        <v>0</v>
      </c>
      <c r="Q71" s="89" t="s">
        <v>108</v>
      </c>
    </row>
    <row r="72" spans="1:17" ht="14" x14ac:dyDescent="0.3">
      <c r="A72" s="67">
        <f t="shared" si="56"/>
        <v>72</v>
      </c>
      <c r="B72" s="102"/>
      <c r="C72" s="101" t="s">
        <v>109</v>
      </c>
      <c r="D72" s="122"/>
      <c r="E72" s="109"/>
      <c r="F72" s="123"/>
      <c r="G72" s="53">
        <v>5.0000000000000001E-4</v>
      </c>
      <c r="H72" s="92"/>
      <c r="I72" s="91">
        <f t="shared" si="50"/>
        <v>5.0000000000000001E-4</v>
      </c>
      <c r="J72" s="53">
        <f t="shared" si="51"/>
        <v>5.0000000000000001E-4</v>
      </c>
      <c r="K72" s="53">
        <f t="shared" si="52"/>
        <v>5.0000000000000001E-4</v>
      </c>
      <c r="M72" s="54">
        <f t="shared" si="53"/>
        <v>0</v>
      </c>
      <c r="N72" s="54">
        <f t="shared" si="54"/>
        <v>0</v>
      </c>
      <c r="O72" s="54"/>
      <c r="P72" s="54">
        <f t="shared" si="55"/>
        <v>0</v>
      </c>
      <c r="Q72" s="89" t="s">
        <v>110</v>
      </c>
    </row>
    <row r="73" spans="1:17" ht="14" x14ac:dyDescent="0.3">
      <c r="A73" s="67">
        <f t="shared" si="56"/>
        <v>73</v>
      </c>
      <c r="B73" s="102"/>
      <c r="C73" s="124" t="s">
        <v>111</v>
      </c>
      <c r="D73" s="124"/>
      <c r="E73" s="123"/>
      <c r="F73" s="123"/>
      <c r="G73" s="53">
        <v>0.13982</v>
      </c>
      <c r="H73" s="55"/>
      <c r="I73" s="91">
        <f t="shared" si="50"/>
        <v>0.13982</v>
      </c>
      <c r="J73" s="53">
        <f t="shared" si="51"/>
        <v>0.13982</v>
      </c>
      <c r="K73" s="53">
        <f t="shared" si="52"/>
        <v>0.13982</v>
      </c>
      <c r="M73" s="54">
        <f t="shared" si="53"/>
        <v>0</v>
      </c>
      <c r="N73" s="54">
        <f t="shared" si="54"/>
        <v>0</v>
      </c>
      <c r="O73" s="54"/>
      <c r="P73" s="54">
        <f t="shared" si="55"/>
        <v>0</v>
      </c>
      <c r="Q73" s="89" t="s">
        <v>112</v>
      </c>
    </row>
    <row r="74" spans="1:17" ht="14" x14ac:dyDescent="0.3">
      <c r="A74" s="67"/>
      <c r="B74" s="102"/>
      <c r="C74" s="125"/>
      <c r="D74" s="124"/>
      <c r="E74" s="123"/>
      <c r="F74" s="123"/>
      <c r="G74" s="118"/>
      <c r="H74" s="118"/>
      <c r="I74" s="118"/>
      <c r="J74" s="94"/>
    </row>
    <row r="75" spans="1:17" ht="14" x14ac:dyDescent="0.3">
      <c r="A75" s="67"/>
      <c r="B75" s="102"/>
      <c r="C75" s="125" t="s">
        <v>58</v>
      </c>
      <c r="D75" s="124"/>
      <c r="E75" s="123"/>
      <c r="F75" s="123"/>
      <c r="G75" s="88">
        <f>+G43</f>
        <v>65</v>
      </c>
      <c r="H75" s="103"/>
      <c r="I75" s="88">
        <f>+I43</f>
        <v>65</v>
      </c>
      <c r="J75" s="88">
        <f>+J43</f>
        <v>65</v>
      </c>
      <c r="K75" s="88">
        <f>+K43</f>
        <v>65</v>
      </c>
    </row>
    <row r="76" spans="1:17" ht="14" x14ac:dyDescent="0.3">
      <c r="A76" s="67"/>
      <c r="B76" s="102"/>
      <c r="C76" s="125" t="s">
        <v>131</v>
      </c>
      <c r="D76" s="124"/>
      <c r="E76" s="123"/>
      <c r="F76" s="123"/>
      <c r="G76" s="88">
        <f>SUM(G44,G68)</f>
        <v>0</v>
      </c>
      <c r="H76" s="103"/>
      <c r="I76" s="88">
        <f t="shared" ref="I76:K77" si="57">SUM(I44,I68)</f>
        <v>0</v>
      </c>
      <c r="J76" s="88">
        <f t="shared" si="57"/>
        <v>0</v>
      </c>
      <c r="K76" s="88">
        <f t="shared" si="57"/>
        <v>0</v>
      </c>
    </row>
    <row r="77" spans="1:17" ht="14" x14ac:dyDescent="0.3">
      <c r="A77" s="67"/>
      <c r="B77" s="102"/>
      <c r="C77" s="125" t="s">
        <v>132</v>
      </c>
      <c r="D77" s="122"/>
      <c r="E77" s="123"/>
      <c r="F77" s="123"/>
      <c r="G77" s="88">
        <f>SUM(G45,G69)</f>
        <v>12.620000000000001</v>
      </c>
      <c r="H77" s="103"/>
      <c r="I77" s="88">
        <f t="shared" si="57"/>
        <v>12.620000000000001</v>
      </c>
      <c r="J77" s="88">
        <f t="shared" si="57"/>
        <v>12.620000000000001</v>
      </c>
      <c r="K77" s="88">
        <f t="shared" si="57"/>
        <v>12.620000000000001</v>
      </c>
    </row>
    <row r="78" spans="1:17" ht="14" x14ac:dyDescent="0.3">
      <c r="A78" s="67"/>
      <c r="B78" s="102"/>
      <c r="C78" s="125" t="s">
        <v>122</v>
      </c>
      <c r="D78" s="122"/>
      <c r="E78" s="123"/>
      <c r="F78" s="123"/>
      <c r="G78" s="53">
        <f>SUM(G46:G67,G70:G72)</f>
        <v>3.5730000000000005E-2</v>
      </c>
      <c r="H78" s="92"/>
      <c r="I78" s="53">
        <f>SUM(I46:I67,I70:I72)</f>
        <v>5.4240000000000003E-2</v>
      </c>
      <c r="J78" s="53">
        <f>SUM(J46:J67,J70:J72)</f>
        <v>5.7190000000000005E-2</v>
      </c>
      <c r="K78" s="53">
        <f>SUM(K46:K67,K70:K72)</f>
        <v>5.6989999999999999E-2</v>
      </c>
    </row>
    <row r="79" spans="1:17" ht="14" x14ac:dyDescent="0.3">
      <c r="A79" s="67"/>
      <c r="B79" s="102"/>
      <c r="C79" s="125" t="s">
        <v>123</v>
      </c>
      <c r="D79" s="122"/>
      <c r="E79" s="123"/>
      <c r="F79" s="123"/>
      <c r="G79" s="53">
        <f>+G73</f>
        <v>0.13982</v>
      </c>
      <c r="H79" s="92"/>
      <c r="I79" s="53">
        <f>+I73</f>
        <v>0.13982</v>
      </c>
      <c r="J79" s="53">
        <f>+J73</f>
        <v>0.13982</v>
      </c>
      <c r="K79" s="53">
        <f>+K73</f>
        <v>0.13982</v>
      </c>
    </row>
    <row r="80" spans="1:17" ht="14" x14ac:dyDescent="0.3">
      <c r="A80" s="102"/>
      <c r="B80" s="102"/>
      <c r="C80" s="125"/>
      <c r="D80" s="122"/>
      <c r="E80" s="123"/>
      <c r="F80" s="123"/>
      <c r="G80" s="123"/>
      <c r="H80" s="103"/>
      <c r="I80" s="123"/>
    </row>
    <row r="81" spans="1:9" ht="14" x14ac:dyDescent="0.3">
      <c r="A81" s="102"/>
      <c r="B81" s="102"/>
      <c r="C81" s="122"/>
      <c r="D81" s="122"/>
      <c r="E81" s="123"/>
      <c r="F81" s="123"/>
      <c r="G81" s="123"/>
      <c r="H81" s="103"/>
      <c r="I81" s="123"/>
    </row>
    <row r="82" spans="1:9" ht="14" x14ac:dyDescent="0.3">
      <c r="A82" s="102"/>
      <c r="B82" s="102"/>
      <c r="C82" s="122"/>
      <c r="D82" s="122"/>
      <c r="E82" s="123"/>
      <c r="F82" s="123"/>
      <c r="G82" s="123"/>
      <c r="H82" s="103"/>
      <c r="I82" s="123"/>
    </row>
    <row r="83" spans="1:9" ht="14" x14ac:dyDescent="0.3">
      <c r="A83" s="102"/>
      <c r="B83" s="102"/>
      <c r="C83" s="122"/>
      <c r="D83" s="122"/>
      <c r="E83" s="123"/>
      <c r="F83" s="123"/>
      <c r="G83" s="123"/>
      <c r="H83" s="103"/>
      <c r="I83" s="123"/>
    </row>
    <row r="84" spans="1:9" ht="14" x14ac:dyDescent="0.3">
      <c r="A84" s="102"/>
      <c r="B84" s="102"/>
      <c r="C84" s="101"/>
      <c r="D84" s="101"/>
      <c r="E84" s="101"/>
      <c r="F84" s="101"/>
      <c r="G84" s="101"/>
      <c r="H84" s="103"/>
      <c r="I84" s="101"/>
    </row>
    <row r="85" spans="1:9" ht="14" x14ac:dyDescent="0.3">
      <c r="A85" s="102"/>
      <c r="B85" s="102"/>
      <c r="C85" s="101"/>
      <c r="D85" s="101"/>
      <c r="E85" s="101"/>
      <c r="F85" s="101"/>
      <c r="G85" s="101"/>
      <c r="H85" s="103"/>
      <c r="I85" s="101"/>
    </row>
    <row r="86" spans="1:9" ht="14" x14ac:dyDescent="0.3">
      <c r="A86" s="102"/>
      <c r="B86" s="102"/>
      <c r="C86" s="101"/>
      <c r="D86" s="101"/>
      <c r="E86" s="101"/>
      <c r="F86" s="101"/>
      <c r="G86" s="101"/>
      <c r="H86" s="103"/>
      <c r="I86" s="101"/>
    </row>
    <row r="87" spans="1:9" ht="14" x14ac:dyDescent="0.3">
      <c r="A87" s="102"/>
      <c r="B87" s="102"/>
      <c r="C87" s="101"/>
      <c r="D87" s="101"/>
      <c r="E87" s="101"/>
      <c r="F87" s="101"/>
      <c r="G87" s="101"/>
      <c r="H87" s="103"/>
      <c r="I87" s="101"/>
    </row>
    <row r="88" spans="1:9" ht="14" x14ac:dyDescent="0.3">
      <c r="A88" s="102"/>
      <c r="B88" s="102"/>
      <c r="C88" s="101"/>
      <c r="D88" s="101"/>
      <c r="E88" s="101"/>
      <c r="F88" s="101"/>
      <c r="G88" s="101"/>
      <c r="H88" s="103"/>
      <c r="I88" s="101"/>
    </row>
    <row r="89" spans="1:9" ht="14" x14ac:dyDescent="0.3">
      <c r="A89" s="102"/>
      <c r="B89" s="102"/>
      <c r="C89" s="101"/>
      <c r="D89" s="101"/>
      <c r="E89" s="101"/>
      <c r="F89" s="101"/>
      <c r="G89" s="101"/>
      <c r="H89" s="103"/>
      <c r="I89" s="101"/>
    </row>
    <row r="90" spans="1:9" ht="14" x14ac:dyDescent="0.3">
      <c r="A90" s="102"/>
      <c r="B90" s="102"/>
      <c r="C90" s="101"/>
      <c r="D90" s="101"/>
      <c r="E90" s="101"/>
      <c r="F90" s="101"/>
      <c r="G90" s="101"/>
      <c r="H90" s="103"/>
      <c r="I90" s="101"/>
    </row>
    <row r="91" spans="1:9" ht="14" x14ac:dyDescent="0.3">
      <c r="A91" s="102"/>
      <c r="B91" s="102"/>
      <c r="C91" s="101"/>
      <c r="D91" s="101"/>
      <c r="E91" s="101"/>
      <c r="F91" s="101"/>
      <c r="G91" s="101"/>
      <c r="H91" s="103"/>
      <c r="I91" s="101"/>
    </row>
    <row r="92" spans="1:9" ht="14" x14ac:dyDescent="0.3">
      <c r="A92" s="102"/>
      <c r="B92" s="102"/>
      <c r="C92" s="101"/>
      <c r="D92" s="101"/>
      <c r="E92" s="101"/>
      <c r="F92" s="101"/>
      <c r="G92" s="101"/>
      <c r="H92" s="103"/>
      <c r="I92" s="101"/>
    </row>
    <row r="93" spans="1:9" ht="14" x14ac:dyDescent="0.3">
      <c r="A93" s="102"/>
      <c r="B93" s="102"/>
      <c r="C93" s="101"/>
      <c r="D93" s="101"/>
      <c r="E93" s="101"/>
      <c r="F93" s="101"/>
      <c r="G93" s="101"/>
      <c r="H93" s="103"/>
      <c r="I93" s="101"/>
    </row>
    <row r="94" spans="1:9" ht="14" x14ac:dyDescent="0.3">
      <c r="A94" s="102"/>
      <c r="B94" s="102"/>
      <c r="C94" s="101"/>
      <c r="D94" s="101"/>
      <c r="E94" s="101"/>
      <c r="F94" s="101"/>
      <c r="G94" s="101"/>
      <c r="H94" s="103"/>
      <c r="I94" s="101"/>
    </row>
    <row r="95" spans="1:9" ht="14" x14ac:dyDescent="0.3">
      <c r="A95" s="102"/>
      <c r="B95" s="102"/>
      <c r="C95" s="101"/>
      <c r="D95" s="101"/>
      <c r="E95" s="101"/>
      <c r="F95" s="101"/>
      <c r="G95" s="101"/>
      <c r="H95" s="103"/>
      <c r="I95" s="101"/>
    </row>
    <row r="96" spans="1:9" ht="14" x14ac:dyDescent="0.3">
      <c r="A96" s="102"/>
      <c r="B96" s="102"/>
      <c r="C96" s="101"/>
      <c r="D96" s="101"/>
      <c r="E96" s="101"/>
      <c r="F96" s="101"/>
      <c r="G96" s="101"/>
      <c r="H96" s="103"/>
      <c r="I96" s="101"/>
    </row>
    <row r="97" spans="1:23" ht="14" x14ac:dyDescent="0.3">
      <c r="A97" s="102"/>
      <c r="B97" s="102"/>
      <c r="C97" s="101"/>
      <c r="D97" s="101"/>
      <c r="E97" s="101"/>
      <c r="F97" s="101"/>
      <c r="G97" s="101"/>
      <c r="H97" s="103"/>
      <c r="I97" s="101"/>
    </row>
    <row r="98" spans="1:23" ht="14" x14ac:dyDescent="0.3">
      <c r="A98" s="102"/>
      <c r="B98" s="102"/>
      <c r="C98" s="101"/>
      <c r="D98" s="101"/>
      <c r="E98" s="101"/>
      <c r="F98" s="101"/>
      <c r="G98" s="101"/>
      <c r="H98" s="103"/>
      <c r="I98" s="101"/>
    </row>
    <row r="99" spans="1:23" ht="14" x14ac:dyDescent="0.3">
      <c r="A99" s="102"/>
      <c r="B99" s="102"/>
      <c r="C99" s="101"/>
      <c r="D99" s="101"/>
      <c r="E99" s="101"/>
      <c r="F99" s="101"/>
      <c r="G99" s="101"/>
      <c r="H99" s="103"/>
      <c r="I99" s="101"/>
    </row>
    <row r="100" spans="1:23" ht="14" x14ac:dyDescent="0.3">
      <c r="A100" s="102"/>
      <c r="B100" s="102"/>
      <c r="C100" s="101"/>
      <c r="D100" s="101"/>
      <c r="E100" s="101"/>
      <c r="F100" s="101"/>
      <c r="G100" s="101"/>
      <c r="H100" s="103"/>
    </row>
    <row r="101" spans="1:23" ht="14" x14ac:dyDescent="0.3">
      <c r="A101" s="102"/>
      <c r="B101" s="102"/>
      <c r="C101" s="101"/>
      <c r="D101" s="101"/>
      <c r="E101" s="101"/>
      <c r="F101" s="101"/>
      <c r="G101" s="101"/>
      <c r="H101" s="103"/>
      <c r="I101" s="101"/>
    </row>
    <row r="102" spans="1:23" ht="14" x14ac:dyDescent="0.3">
      <c r="A102" s="102"/>
      <c r="B102" s="102"/>
      <c r="C102" s="101"/>
      <c r="D102" s="101"/>
      <c r="E102" s="101"/>
      <c r="F102" s="101"/>
      <c r="G102" s="101"/>
      <c r="H102" s="103"/>
      <c r="I102" s="101"/>
    </row>
    <row r="103" spans="1:23" ht="14" x14ac:dyDescent="0.3">
      <c r="A103" s="102"/>
      <c r="B103" s="102"/>
      <c r="C103" s="101"/>
      <c r="D103" s="101"/>
      <c r="E103" s="101"/>
      <c r="F103" s="101"/>
      <c r="G103" s="101"/>
      <c r="H103" s="103"/>
      <c r="I103" s="101"/>
    </row>
    <row r="104" spans="1:23" ht="14" x14ac:dyDescent="0.3">
      <c r="A104" s="102"/>
      <c r="B104" s="102"/>
      <c r="C104" s="101"/>
      <c r="D104" s="101"/>
      <c r="E104" s="101"/>
      <c r="F104" s="101"/>
      <c r="G104" s="101"/>
      <c r="H104" s="103"/>
      <c r="I104" s="101"/>
    </row>
    <row r="105" spans="1:23" ht="14" x14ac:dyDescent="0.3">
      <c r="A105" s="102"/>
      <c r="B105" s="102"/>
      <c r="C105" s="101"/>
      <c r="D105" s="101"/>
      <c r="E105" s="101"/>
      <c r="F105" s="101"/>
      <c r="G105" s="101"/>
      <c r="H105" s="103"/>
      <c r="I105" s="101"/>
    </row>
    <row r="106" spans="1:23" ht="14" x14ac:dyDescent="0.3">
      <c r="A106" s="102"/>
      <c r="B106" s="102"/>
      <c r="C106" s="126"/>
      <c r="D106" s="101"/>
      <c r="E106" s="101"/>
      <c r="F106" s="101"/>
      <c r="G106" s="101"/>
      <c r="H106" s="103"/>
      <c r="I106" s="101"/>
    </row>
    <row r="107" spans="1:23" ht="14" x14ac:dyDescent="0.3">
      <c r="A107" s="102"/>
      <c r="B107" s="102"/>
      <c r="C107" s="127"/>
      <c r="D107" s="127"/>
      <c r="E107" s="97"/>
      <c r="F107" s="97"/>
      <c r="G107" s="97"/>
      <c r="H107" s="128"/>
      <c r="I107" s="97"/>
      <c r="J107" s="97"/>
      <c r="K107" s="97"/>
      <c r="L107" s="129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8"/>
    </row>
    <row r="108" spans="1:23" ht="14" x14ac:dyDescent="0.3">
      <c r="A108" s="102"/>
      <c r="B108" s="102"/>
      <c r="C108" s="101"/>
      <c r="D108" s="101"/>
      <c r="E108" s="101"/>
      <c r="F108" s="101"/>
      <c r="G108" s="101"/>
      <c r="H108" s="103"/>
      <c r="I108" s="101"/>
    </row>
    <row r="109" spans="1:23" ht="14" x14ac:dyDescent="0.3">
      <c r="A109" s="102"/>
      <c r="B109" s="102"/>
      <c r="C109" s="127"/>
      <c r="D109" s="127"/>
      <c r="E109" s="97"/>
      <c r="F109" s="97"/>
      <c r="G109" s="97"/>
      <c r="H109" s="128"/>
      <c r="I109" s="97"/>
      <c r="J109" s="97"/>
      <c r="K109" s="97"/>
      <c r="L109" s="129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8"/>
    </row>
    <row r="110" spans="1:23" ht="14" x14ac:dyDescent="0.3">
      <c r="A110" s="102"/>
      <c r="B110" s="102"/>
      <c r="C110" s="101"/>
      <c r="D110" s="101"/>
      <c r="E110" s="101"/>
      <c r="F110" s="101"/>
      <c r="G110" s="101"/>
      <c r="H110" s="103"/>
      <c r="I110" s="101"/>
    </row>
    <row r="111" spans="1:23" ht="14" x14ac:dyDescent="0.3">
      <c r="A111" s="102"/>
      <c r="B111" s="102"/>
      <c r="C111" s="101"/>
      <c r="D111" s="101"/>
      <c r="E111" s="101"/>
      <c r="F111" s="101"/>
      <c r="G111" s="101"/>
      <c r="H111" s="103"/>
      <c r="I111" s="101"/>
    </row>
    <row r="112" spans="1:23" ht="14" x14ac:dyDescent="0.3">
      <c r="A112" s="102"/>
      <c r="B112" s="102"/>
      <c r="C112" s="101"/>
      <c r="D112" s="101"/>
      <c r="E112" s="101"/>
      <c r="F112" s="101"/>
      <c r="G112" s="101"/>
      <c r="H112" s="103"/>
      <c r="I112" s="101"/>
    </row>
    <row r="113" spans="1:9" ht="14" x14ac:dyDescent="0.3">
      <c r="A113" s="102"/>
      <c r="B113" s="102"/>
      <c r="C113" s="101"/>
      <c r="D113" s="101"/>
      <c r="E113" s="101"/>
      <c r="F113" s="101"/>
      <c r="G113" s="101"/>
      <c r="H113" s="103"/>
      <c r="I113" s="101"/>
    </row>
    <row r="114" spans="1:9" ht="14" x14ac:dyDescent="0.3">
      <c r="A114" s="102"/>
      <c r="B114" s="102"/>
      <c r="C114" s="101"/>
      <c r="D114" s="101"/>
      <c r="E114" s="101"/>
      <c r="F114" s="101"/>
      <c r="G114" s="101"/>
      <c r="H114" s="103"/>
      <c r="I114" s="101"/>
    </row>
    <row r="115" spans="1:9" ht="14" x14ac:dyDescent="0.3">
      <c r="A115" s="102"/>
      <c r="B115" s="102"/>
      <c r="C115" s="101"/>
      <c r="D115" s="101"/>
      <c r="E115" s="101"/>
      <c r="F115" s="101"/>
      <c r="G115" s="101"/>
      <c r="H115" s="103"/>
      <c r="I115" s="101"/>
    </row>
    <row r="116" spans="1:9" ht="14" x14ac:dyDescent="0.3">
      <c r="A116" s="102"/>
      <c r="B116" s="102"/>
      <c r="C116" s="101"/>
      <c r="D116" s="101"/>
      <c r="E116" s="101"/>
      <c r="F116" s="101"/>
      <c r="G116" s="101"/>
      <c r="H116" s="103"/>
      <c r="I116" s="101"/>
    </row>
    <row r="117" spans="1:9" ht="14" x14ac:dyDescent="0.3">
      <c r="A117" s="102"/>
      <c r="B117" s="102"/>
      <c r="C117" s="101"/>
      <c r="D117" s="101"/>
      <c r="E117" s="101"/>
      <c r="F117" s="101"/>
      <c r="G117" s="101"/>
      <c r="H117" s="103"/>
      <c r="I117" s="101"/>
    </row>
    <row r="118" spans="1:9" ht="14" x14ac:dyDescent="0.3">
      <c r="A118" s="102"/>
      <c r="B118" s="102"/>
      <c r="C118" s="101"/>
      <c r="D118" s="101"/>
      <c r="E118" s="101"/>
      <c r="F118" s="101"/>
      <c r="G118" s="101"/>
      <c r="H118" s="103"/>
      <c r="I118" s="101"/>
    </row>
    <row r="119" spans="1:9" ht="14" x14ac:dyDescent="0.3">
      <c r="A119" s="102"/>
      <c r="B119" s="102"/>
      <c r="C119" s="101"/>
      <c r="D119" s="101"/>
      <c r="E119" s="101"/>
      <c r="F119" s="101"/>
      <c r="G119" s="101"/>
      <c r="H119" s="103"/>
      <c r="I119" s="101"/>
    </row>
    <row r="120" spans="1:9" ht="14" x14ac:dyDescent="0.3">
      <c r="A120" s="102"/>
      <c r="B120" s="102"/>
      <c r="C120" s="101"/>
      <c r="D120" s="101"/>
      <c r="E120" s="101"/>
      <c r="F120" s="101"/>
      <c r="G120" s="101"/>
      <c r="H120" s="103"/>
      <c r="I120" s="101"/>
    </row>
    <row r="121" spans="1:9" ht="14" x14ac:dyDescent="0.3">
      <c r="A121" s="102"/>
      <c r="B121" s="102"/>
      <c r="C121" s="101"/>
      <c r="D121" s="101"/>
      <c r="E121" s="101"/>
      <c r="F121" s="101"/>
      <c r="G121" s="101"/>
      <c r="H121" s="103"/>
      <c r="I121" s="101"/>
    </row>
    <row r="122" spans="1:9" ht="14" x14ac:dyDescent="0.3">
      <c r="A122" s="102"/>
      <c r="B122" s="102"/>
      <c r="C122" s="101"/>
      <c r="D122" s="101"/>
      <c r="E122" s="101"/>
      <c r="F122" s="101"/>
      <c r="G122" s="101"/>
      <c r="H122" s="103"/>
      <c r="I122" s="101"/>
    </row>
    <row r="123" spans="1:9" ht="14" x14ac:dyDescent="0.3">
      <c r="A123" s="102"/>
      <c r="B123" s="102"/>
      <c r="C123" s="101"/>
      <c r="D123" s="101"/>
      <c r="E123" s="101"/>
      <c r="F123" s="101"/>
      <c r="G123" s="101"/>
      <c r="H123" s="103"/>
      <c r="I123" s="101"/>
    </row>
    <row r="124" spans="1:9" ht="14" x14ac:dyDescent="0.3">
      <c r="A124" s="102"/>
      <c r="B124" s="102"/>
      <c r="C124" s="101"/>
      <c r="D124" s="101"/>
      <c r="E124" s="101"/>
      <c r="F124" s="101"/>
      <c r="G124" s="101"/>
      <c r="H124" s="103"/>
      <c r="I124" s="101"/>
    </row>
    <row r="125" spans="1:9" ht="14" x14ac:dyDescent="0.3">
      <c r="A125" s="102"/>
      <c r="B125" s="102"/>
      <c r="C125" s="101"/>
      <c r="D125" s="101"/>
      <c r="E125" s="101"/>
      <c r="F125" s="101"/>
      <c r="G125" s="101"/>
      <c r="H125" s="103"/>
      <c r="I125" s="101"/>
    </row>
    <row r="126" spans="1:9" ht="14" x14ac:dyDescent="0.3">
      <c r="A126" s="102"/>
      <c r="B126" s="102"/>
      <c r="C126" s="101"/>
      <c r="D126" s="101"/>
      <c r="E126" s="101"/>
      <c r="F126" s="101"/>
      <c r="G126" s="101"/>
      <c r="H126" s="103"/>
      <c r="I126" s="101"/>
    </row>
    <row r="127" spans="1:9" ht="14" x14ac:dyDescent="0.3">
      <c r="A127" s="102"/>
      <c r="B127" s="102"/>
      <c r="C127" s="101"/>
      <c r="D127" s="101"/>
      <c r="E127" s="101"/>
      <c r="F127" s="101"/>
      <c r="G127" s="101"/>
      <c r="H127" s="103"/>
      <c r="I127" s="101"/>
    </row>
    <row r="128" spans="1:9" ht="14" x14ac:dyDescent="0.3">
      <c r="A128" s="102"/>
      <c r="B128" s="102"/>
      <c r="C128" s="101"/>
      <c r="D128" s="101"/>
      <c r="E128" s="101"/>
      <c r="F128" s="101"/>
      <c r="G128" s="101"/>
      <c r="H128" s="103"/>
      <c r="I128" s="101"/>
    </row>
    <row r="129" spans="1:9" ht="14" x14ac:dyDescent="0.3">
      <c r="A129" s="102"/>
      <c r="B129" s="102"/>
      <c r="C129" s="101"/>
      <c r="D129" s="101"/>
      <c r="E129" s="101"/>
      <c r="F129" s="101"/>
      <c r="G129" s="101"/>
      <c r="H129" s="103"/>
      <c r="I129" s="101"/>
    </row>
    <row r="130" spans="1:9" ht="14" x14ac:dyDescent="0.3">
      <c r="A130" s="102"/>
      <c r="B130" s="102"/>
      <c r="C130" s="101"/>
      <c r="D130" s="101"/>
      <c r="E130" s="101"/>
      <c r="F130" s="101"/>
      <c r="G130" s="101"/>
      <c r="H130" s="103"/>
      <c r="I130" s="101"/>
    </row>
    <row r="131" spans="1:9" ht="14" x14ac:dyDescent="0.3">
      <c r="A131" s="102"/>
      <c r="B131" s="102"/>
      <c r="C131" s="101"/>
      <c r="D131" s="101"/>
      <c r="E131" s="101"/>
      <c r="F131" s="101"/>
      <c r="G131" s="101"/>
      <c r="H131" s="103"/>
      <c r="I131" s="101"/>
    </row>
    <row r="132" spans="1:9" ht="14" x14ac:dyDescent="0.3">
      <c r="A132" s="102"/>
      <c r="B132" s="102"/>
      <c r="C132" s="101"/>
      <c r="D132" s="101"/>
      <c r="E132" s="101"/>
      <c r="F132" s="101"/>
      <c r="G132" s="101"/>
      <c r="H132" s="103"/>
      <c r="I132" s="101"/>
    </row>
    <row r="133" spans="1:9" ht="14" x14ac:dyDescent="0.3">
      <c r="A133" s="102"/>
      <c r="B133" s="102"/>
      <c r="C133" s="101"/>
      <c r="D133" s="101"/>
      <c r="E133" s="101"/>
      <c r="F133" s="101"/>
      <c r="G133" s="101"/>
      <c r="H133" s="103"/>
      <c r="I133" s="101"/>
    </row>
    <row r="134" spans="1:9" ht="14" x14ac:dyDescent="0.3">
      <c r="A134" s="102"/>
      <c r="B134" s="102"/>
      <c r="C134" s="101"/>
      <c r="D134" s="101"/>
      <c r="E134" s="101"/>
      <c r="F134" s="101"/>
      <c r="G134" s="101"/>
      <c r="H134" s="103"/>
      <c r="I134" s="101"/>
    </row>
    <row r="135" spans="1:9" ht="14" x14ac:dyDescent="0.3">
      <c r="A135" s="102"/>
      <c r="B135" s="102"/>
      <c r="C135" s="101"/>
      <c r="D135" s="101"/>
      <c r="E135" s="101"/>
      <c r="F135" s="101"/>
      <c r="G135" s="101"/>
      <c r="H135" s="103"/>
      <c r="I135" s="101"/>
    </row>
    <row r="136" spans="1:9" ht="14" x14ac:dyDescent="0.3">
      <c r="A136" s="102"/>
      <c r="B136" s="102"/>
      <c r="C136" s="101"/>
      <c r="D136" s="101"/>
      <c r="E136" s="101"/>
      <c r="F136" s="101"/>
      <c r="G136" s="101"/>
      <c r="H136" s="103"/>
      <c r="I136" s="101"/>
    </row>
    <row r="137" spans="1:9" ht="14" x14ac:dyDescent="0.3">
      <c r="A137" s="102"/>
      <c r="B137" s="102"/>
      <c r="C137" s="101"/>
      <c r="D137" s="101"/>
      <c r="E137" s="101"/>
      <c r="F137" s="101"/>
      <c r="G137" s="101"/>
      <c r="H137" s="103"/>
      <c r="I137" s="101"/>
    </row>
    <row r="138" spans="1:9" ht="14" x14ac:dyDescent="0.3">
      <c r="A138" s="102"/>
      <c r="B138" s="102"/>
      <c r="C138" s="101"/>
      <c r="D138" s="101"/>
      <c r="E138" s="101"/>
      <c r="F138" s="101"/>
      <c r="G138" s="101"/>
      <c r="H138" s="103"/>
      <c r="I138" s="101"/>
    </row>
    <row r="139" spans="1:9" ht="14" x14ac:dyDescent="0.3">
      <c r="A139" s="102"/>
      <c r="B139" s="102"/>
      <c r="C139" s="101"/>
      <c r="D139" s="101"/>
      <c r="E139" s="101"/>
      <c r="F139" s="101"/>
      <c r="G139" s="101"/>
      <c r="H139" s="103"/>
      <c r="I139" s="101"/>
    </row>
    <row r="140" spans="1:9" ht="14" x14ac:dyDescent="0.3">
      <c r="A140" s="102"/>
      <c r="B140" s="102"/>
      <c r="C140" s="101"/>
      <c r="D140" s="101"/>
      <c r="E140" s="101"/>
      <c r="F140" s="101"/>
      <c r="G140" s="101"/>
      <c r="H140" s="103"/>
      <c r="I140" s="101"/>
    </row>
    <row r="141" spans="1:9" ht="14" x14ac:dyDescent="0.3">
      <c r="A141" s="102"/>
      <c r="B141" s="102"/>
      <c r="C141" s="101"/>
      <c r="D141" s="101"/>
      <c r="E141" s="101"/>
      <c r="F141" s="101"/>
      <c r="G141" s="101"/>
      <c r="H141" s="103"/>
      <c r="I141" s="101"/>
    </row>
    <row r="142" spans="1:9" ht="14" x14ac:dyDescent="0.3">
      <c r="A142" s="102"/>
      <c r="B142" s="102"/>
      <c r="C142" s="101"/>
      <c r="D142" s="101"/>
      <c r="E142" s="101"/>
      <c r="F142" s="101"/>
      <c r="G142" s="101"/>
      <c r="H142" s="103"/>
      <c r="I142" s="101"/>
    </row>
    <row r="143" spans="1:9" ht="14" x14ac:dyDescent="0.3">
      <c r="A143" s="102"/>
      <c r="B143" s="102"/>
      <c r="C143" s="101"/>
      <c r="D143" s="101"/>
      <c r="E143" s="101"/>
      <c r="F143" s="101"/>
      <c r="G143" s="101"/>
      <c r="H143" s="103"/>
      <c r="I143" s="101"/>
    </row>
    <row r="144" spans="1:9" ht="14" x14ac:dyDescent="0.3">
      <c r="A144" s="102"/>
      <c r="B144" s="102"/>
      <c r="C144" s="101"/>
      <c r="D144" s="101"/>
      <c r="E144" s="101"/>
      <c r="F144" s="101"/>
      <c r="G144" s="101"/>
      <c r="H144" s="103"/>
      <c r="I144" s="101"/>
    </row>
    <row r="145" spans="1:9" ht="14" x14ac:dyDescent="0.3">
      <c r="A145" s="102"/>
      <c r="B145" s="102"/>
      <c r="C145" s="101"/>
      <c r="D145" s="101"/>
      <c r="E145" s="101"/>
      <c r="F145" s="101"/>
      <c r="G145" s="101"/>
      <c r="H145" s="103"/>
      <c r="I145" s="101"/>
    </row>
    <row r="146" spans="1:9" ht="14" x14ac:dyDescent="0.3">
      <c r="A146" s="102"/>
      <c r="B146" s="102"/>
      <c r="C146" s="101"/>
      <c r="D146" s="101"/>
      <c r="E146" s="101"/>
      <c r="F146" s="101"/>
      <c r="G146" s="101"/>
      <c r="H146" s="103"/>
      <c r="I146" s="101"/>
    </row>
    <row r="147" spans="1:9" ht="14" x14ac:dyDescent="0.3">
      <c r="A147" s="102"/>
      <c r="B147" s="102"/>
      <c r="C147" s="101"/>
      <c r="D147" s="101"/>
      <c r="E147" s="101"/>
      <c r="F147" s="101"/>
      <c r="G147" s="101"/>
      <c r="H147" s="103"/>
      <c r="I147" s="101"/>
    </row>
    <row r="148" spans="1:9" ht="14" x14ac:dyDescent="0.3">
      <c r="A148" s="102"/>
      <c r="B148" s="102"/>
      <c r="C148" s="101"/>
      <c r="D148" s="101"/>
      <c r="E148" s="101"/>
      <c r="F148" s="101"/>
      <c r="G148" s="101"/>
      <c r="H148" s="103"/>
      <c r="I148" s="101"/>
    </row>
    <row r="149" spans="1:9" ht="14" x14ac:dyDescent="0.3">
      <c r="A149" s="102"/>
      <c r="B149" s="102"/>
      <c r="C149" s="101"/>
      <c r="D149" s="101"/>
      <c r="E149" s="101"/>
      <c r="F149" s="101"/>
      <c r="G149" s="101"/>
      <c r="H149" s="103"/>
      <c r="I149" s="101"/>
    </row>
    <row r="150" spans="1:9" ht="14" x14ac:dyDescent="0.3">
      <c r="A150" s="102"/>
      <c r="B150" s="102"/>
      <c r="C150" s="101"/>
      <c r="D150" s="101"/>
      <c r="E150" s="101"/>
      <c r="F150" s="101"/>
      <c r="G150" s="101"/>
      <c r="H150" s="103"/>
      <c r="I150" s="101"/>
    </row>
    <row r="151" spans="1:9" ht="14" x14ac:dyDescent="0.3">
      <c r="A151" s="102"/>
      <c r="B151" s="102"/>
      <c r="C151" s="101"/>
      <c r="D151" s="101"/>
      <c r="E151" s="101"/>
      <c r="F151" s="101"/>
      <c r="G151" s="101"/>
      <c r="H151" s="103"/>
      <c r="I151" s="101"/>
    </row>
    <row r="152" spans="1:9" ht="14" x14ac:dyDescent="0.3">
      <c r="A152" s="102"/>
      <c r="B152" s="102"/>
      <c r="C152" s="101"/>
      <c r="D152" s="101"/>
      <c r="E152" s="101"/>
      <c r="F152" s="101"/>
      <c r="G152" s="101"/>
      <c r="H152" s="103"/>
      <c r="I152" s="101"/>
    </row>
    <row r="153" spans="1:9" ht="14" x14ac:dyDescent="0.3">
      <c r="A153" s="102"/>
      <c r="B153" s="102"/>
      <c r="C153" s="101"/>
      <c r="D153" s="101"/>
      <c r="E153" s="101"/>
      <c r="F153" s="101"/>
      <c r="G153" s="101"/>
      <c r="H153" s="103"/>
      <c r="I153" s="101"/>
    </row>
    <row r="154" spans="1:9" ht="14" x14ac:dyDescent="0.3">
      <c r="A154" s="102"/>
      <c r="B154" s="102"/>
      <c r="C154" s="101"/>
      <c r="D154" s="101"/>
      <c r="E154" s="101"/>
      <c r="F154" s="101"/>
      <c r="G154" s="101"/>
      <c r="H154" s="103"/>
      <c r="I154" s="101"/>
    </row>
    <row r="155" spans="1:9" ht="14" x14ac:dyDescent="0.3">
      <c r="A155" s="102"/>
      <c r="B155" s="102"/>
      <c r="C155" s="101"/>
      <c r="D155" s="101"/>
      <c r="E155" s="101"/>
      <c r="F155" s="101"/>
      <c r="G155" s="101"/>
      <c r="H155" s="103"/>
      <c r="I155" s="101"/>
    </row>
    <row r="156" spans="1:9" ht="14" x14ac:dyDescent="0.3">
      <c r="A156" s="102"/>
      <c r="B156" s="102"/>
      <c r="C156" s="101"/>
      <c r="D156" s="101"/>
      <c r="E156" s="101"/>
      <c r="F156" s="101"/>
      <c r="G156" s="101"/>
      <c r="H156" s="103"/>
      <c r="I156" s="101"/>
    </row>
    <row r="157" spans="1:9" ht="14" x14ac:dyDescent="0.3">
      <c r="A157" s="102"/>
      <c r="B157" s="102"/>
      <c r="C157" s="101"/>
      <c r="D157" s="101"/>
      <c r="E157" s="101"/>
      <c r="F157" s="101"/>
      <c r="G157" s="101"/>
      <c r="H157" s="103"/>
      <c r="I157" s="101"/>
    </row>
    <row r="158" spans="1:9" ht="14" x14ac:dyDescent="0.3">
      <c r="A158" s="102"/>
      <c r="B158" s="102"/>
      <c r="C158" s="101"/>
      <c r="D158" s="101"/>
      <c r="E158" s="101"/>
      <c r="F158" s="101"/>
      <c r="G158" s="101"/>
      <c r="H158" s="103"/>
      <c r="I158" s="101"/>
    </row>
    <row r="159" spans="1:9" ht="14" x14ac:dyDescent="0.3">
      <c r="A159" s="102"/>
      <c r="B159" s="102"/>
      <c r="C159" s="101"/>
      <c r="D159" s="101"/>
      <c r="E159" s="101"/>
      <c r="F159" s="101"/>
      <c r="G159" s="101"/>
      <c r="H159" s="103"/>
      <c r="I159" s="101"/>
    </row>
    <row r="160" spans="1:9" ht="14" x14ac:dyDescent="0.3">
      <c r="A160" s="102"/>
      <c r="B160" s="102"/>
      <c r="C160" s="101"/>
      <c r="D160" s="101"/>
      <c r="E160" s="101"/>
      <c r="F160" s="101"/>
      <c r="G160" s="101"/>
      <c r="H160" s="103"/>
      <c r="I160" s="101"/>
    </row>
    <row r="161" spans="1:9" ht="14" x14ac:dyDescent="0.3">
      <c r="A161" s="102"/>
      <c r="B161" s="102"/>
      <c r="C161" s="101"/>
      <c r="D161" s="101"/>
      <c r="E161" s="101"/>
      <c r="F161" s="101"/>
      <c r="G161" s="101"/>
      <c r="H161" s="103"/>
      <c r="I161" s="101"/>
    </row>
    <row r="162" spans="1:9" ht="14" x14ac:dyDescent="0.3">
      <c r="A162" s="102"/>
      <c r="B162" s="102"/>
      <c r="C162" s="101"/>
      <c r="D162" s="101"/>
      <c r="E162" s="101"/>
      <c r="F162" s="101"/>
      <c r="G162" s="101"/>
      <c r="H162" s="103"/>
      <c r="I162" s="101"/>
    </row>
    <row r="163" spans="1:9" ht="14" x14ac:dyDescent="0.3">
      <c r="A163" s="102"/>
      <c r="B163" s="102"/>
      <c r="C163" s="101"/>
      <c r="D163" s="101"/>
      <c r="E163" s="101"/>
      <c r="F163" s="101"/>
      <c r="G163" s="101"/>
      <c r="H163" s="103"/>
      <c r="I163" s="101"/>
    </row>
    <row r="164" spans="1:9" ht="14" x14ac:dyDescent="0.3">
      <c r="A164" s="102"/>
      <c r="B164" s="102"/>
      <c r="C164" s="101"/>
      <c r="D164" s="101"/>
      <c r="E164" s="101"/>
      <c r="F164" s="101"/>
      <c r="G164" s="101"/>
      <c r="H164" s="103"/>
      <c r="I164" s="101"/>
    </row>
    <row r="165" spans="1:9" ht="14" x14ac:dyDescent="0.3">
      <c r="A165" s="102"/>
      <c r="B165" s="102"/>
      <c r="C165" s="101"/>
      <c r="D165" s="101"/>
      <c r="E165" s="101"/>
      <c r="F165" s="101"/>
      <c r="G165" s="101"/>
      <c r="H165" s="103"/>
      <c r="I165" s="101"/>
    </row>
    <row r="166" spans="1:9" ht="14" x14ac:dyDescent="0.3">
      <c r="A166" s="102"/>
      <c r="B166" s="102"/>
      <c r="C166" s="101"/>
      <c r="D166" s="101"/>
      <c r="E166" s="101"/>
      <c r="F166" s="101"/>
      <c r="G166" s="101"/>
      <c r="H166" s="103"/>
      <c r="I166" s="101"/>
    </row>
    <row r="167" spans="1:9" ht="14" x14ac:dyDescent="0.3">
      <c r="A167" s="102"/>
      <c r="B167" s="102"/>
      <c r="C167" s="101"/>
      <c r="D167" s="101"/>
      <c r="E167" s="101"/>
      <c r="F167" s="101"/>
      <c r="G167" s="101"/>
      <c r="H167" s="103"/>
      <c r="I167" s="101"/>
    </row>
    <row r="168" spans="1:9" ht="14" x14ac:dyDescent="0.3">
      <c r="A168" s="102"/>
      <c r="B168" s="102"/>
      <c r="C168" s="101"/>
      <c r="D168" s="101"/>
      <c r="E168" s="101"/>
      <c r="F168" s="101"/>
      <c r="G168" s="101"/>
      <c r="H168" s="103"/>
      <c r="I168" s="101"/>
    </row>
    <row r="169" spans="1:9" ht="14" x14ac:dyDescent="0.3">
      <c r="A169" s="102"/>
      <c r="B169" s="102"/>
      <c r="C169" s="101"/>
      <c r="D169" s="101"/>
      <c r="E169" s="101"/>
      <c r="F169" s="101"/>
      <c r="G169" s="101"/>
      <c r="H169" s="103"/>
      <c r="I169" s="101"/>
    </row>
    <row r="170" spans="1:9" ht="14" x14ac:dyDescent="0.3">
      <c r="A170" s="102"/>
      <c r="B170" s="102"/>
      <c r="C170" s="101"/>
      <c r="D170" s="101"/>
      <c r="E170" s="101"/>
      <c r="F170" s="101"/>
      <c r="G170" s="101"/>
      <c r="H170" s="103"/>
      <c r="I170" s="101"/>
    </row>
    <row r="171" spans="1:9" ht="14" x14ac:dyDescent="0.3">
      <c r="A171" s="102"/>
      <c r="B171" s="102"/>
      <c r="C171" s="101"/>
      <c r="D171" s="101"/>
      <c r="E171" s="101"/>
      <c r="F171" s="101"/>
      <c r="G171" s="101"/>
      <c r="H171" s="103"/>
      <c r="I171" s="101"/>
    </row>
    <row r="172" spans="1:9" ht="14" x14ac:dyDescent="0.3">
      <c r="A172" s="102"/>
      <c r="B172" s="102"/>
      <c r="C172" s="101"/>
      <c r="D172" s="101"/>
      <c r="E172" s="101"/>
      <c r="F172" s="101"/>
      <c r="G172" s="101"/>
      <c r="H172" s="103"/>
      <c r="I172" s="101"/>
    </row>
    <row r="173" spans="1:9" ht="14" x14ac:dyDescent="0.3">
      <c r="A173" s="102"/>
      <c r="B173" s="102"/>
      <c r="C173" s="101"/>
      <c r="D173" s="101"/>
      <c r="E173" s="101"/>
      <c r="F173" s="101"/>
      <c r="G173" s="101"/>
      <c r="H173" s="103"/>
      <c r="I173" s="101"/>
    </row>
    <row r="174" spans="1:9" ht="14" x14ac:dyDescent="0.3">
      <c r="A174" s="102"/>
      <c r="B174" s="102"/>
      <c r="C174" s="101"/>
      <c r="D174" s="101"/>
      <c r="E174" s="101"/>
      <c r="F174" s="101"/>
      <c r="G174" s="101"/>
      <c r="H174" s="103"/>
      <c r="I174" s="101"/>
    </row>
    <row r="175" spans="1:9" ht="14" x14ac:dyDescent="0.3">
      <c r="A175" s="102"/>
      <c r="B175" s="102"/>
      <c r="C175" s="101"/>
      <c r="D175" s="101"/>
      <c r="E175" s="101"/>
      <c r="F175" s="101"/>
      <c r="G175" s="101"/>
      <c r="H175" s="103"/>
      <c r="I175" s="101"/>
    </row>
    <row r="176" spans="1:9" ht="14" x14ac:dyDescent="0.3">
      <c r="A176" s="102"/>
      <c r="B176" s="102"/>
      <c r="C176" s="101"/>
      <c r="D176" s="101"/>
      <c r="E176" s="101"/>
      <c r="F176" s="101"/>
      <c r="G176" s="101"/>
      <c r="H176" s="103"/>
      <c r="I176" s="101"/>
    </row>
    <row r="177" spans="1:9" ht="14" x14ac:dyDescent="0.3">
      <c r="A177" s="102"/>
      <c r="B177" s="102"/>
      <c r="C177" s="101"/>
      <c r="D177" s="101"/>
      <c r="E177" s="101"/>
      <c r="F177" s="101"/>
      <c r="G177" s="101"/>
      <c r="H177" s="103"/>
      <c r="I177" s="101"/>
    </row>
    <row r="178" spans="1:9" ht="14" x14ac:dyDescent="0.3">
      <c r="A178" s="102"/>
      <c r="B178" s="102"/>
      <c r="C178" s="101"/>
      <c r="D178" s="101"/>
      <c r="E178" s="101"/>
      <c r="F178" s="101"/>
      <c r="G178" s="101"/>
      <c r="H178" s="103"/>
      <c r="I178" s="101"/>
    </row>
    <row r="179" spans="1:9" ht="14" x14ac:dyDescent="0.3">
      <c r="A179" s="102"/>
      <c r="B179" s="102"/>
      <c r="C179" s="101"/>
      <c r="D179" s="101"/>
      <c r="E179" s="101"/>
      <c r="F179" s="101"/>
      <c r="G179" s="101"/>
      <c r="H179" s="103"/>
      <c r="I179" s="101"/>
    </row>
    <row r="180" spans="1:9" ht="14" x14ac:dyDescent="0.3">
      <c r="A180" s="102"/>
      <c r="B180" s="102"/>
      <c r="C180" s="101"/>
      <c r="D180" s="101"/>
      <c r="E180" s="101"/>
      <c r="F180" s="101"/>
      <c r="G180" s="101"/>
      <c r="H180" s="103"/>
      <c r="I180" s="101"/>
    </row>
    <row r="181" spans="1:9" ht="14" x14ac:dyDescent="0.3">
      <c r="A181" s="102"/>
      <c r="B181" s="102"/>
      <c r="C181" s="101"/>
      <c r="D181" s="101"/>
      <c r="E181" s="101"/>
      <c r="F181" s="101"/>
      <c r="G181" s="101"/>
      <c r="H181" s="103"/>
      <c r="I181" s="101"/>
    </row>
    <row r="182" spans="1:9" ht="14" x14ac:dyDescent="0.3">
      <c r="A182" s="102"/>
      <c r="B182" s="102"/>
      <c r="C182" s="101"/>
      <c r="D182" s="101"/>
      <c r="E182" s="101"/>
      <c r="F182" s="101"/>
      <c r="G182" s="101"/>
      <c r="H182" s="103"/>
      <c r="I182" s="101"/>
    </row>
    <row r="183" spans="1:9" ht="14" x14ac:dyDescent="0.3">
      <c r="A183" s="102"/>
      <c r="B183" s="102"/>
      <c r="C183" s="101"/>
      <c r="D183" s="101"/>
      <c r="E183" s="101"/>
      <c r="F183" s="101"/>
      <c r="G183" s="101"/>
      <c r="H183" s="103"/>
      <c r="I183" s="101"/>
    </row>
    <row r="184" spans="1:9" ht="14" x14ac:dyDescent="0.3">
      <c r="A184" s="102"/>
      <c r="B184" s="102"/>
      <c r="C184" s="101"/>
      <c r="D184" s="101"/>
      <c r="E184" s="101"/>
      <c r="F184" s="101"/>
      <c r="G184" s="101"/>
      <c r="H184" s="103"/>
      <c r="I184" s="101"/>
    </row>
    <row r="185" spans="1:9" ht="14" x14ac:dyDescent="0.3">
      <c r="A185" s="102"/>
      <c r="B185" s="102"/>
      <c r="C185" s="101"/>
      <c r="D185" s="101"/>
      <c r="E185" s="101"/>
      <c r="F185" s="101"/>
      <c r="G185" s="101"/>
      <c r="H185" s="103"/>
      <c r="I185" s="101"/>
    </row>
    <row r="186" spans="1:9" ht="14" x14ac:dyDescent="0.3">
      <c r="A186" s="102"/>
      <c r="B186" s="102"/>
      <c r="C186" s="101"/>
      <c r="D186" s="101"/>
      <c r="E186" s="101"/>
      <c r="F186" s="101"/>
      <c r="G186" s="101"/>
      <c r="H186" s="103"/>
      <c r="I186" s="101"/>
    </row>
    <row r="187" spans="1:9" ht="14" x14ac:dyDescent="0.3">
      <c r="A187" s="102"/>
      <c r="B187" s="102"/>
      <c r="C187" s="101"/>
      <c r="D187" s="101"/>
      <c r="E187" s="101"/>
      <c r="F187" s="101"/>
      <c r="G187" s="101"/>
      <c r="H187" s="103"/>
      <c r="I187" s="101"/>
    </row>
    <row r="188" spans="1:9" ht="14" x14ac:dyDescent="0.3">
      <c r="A188" s="102"/>
      <c r="B188" s="102"/>
      <c r="C188" s="101"/>
      <c r="D188" s="101"/>
      <c r="E188" s="101"/>
      <c r="F188" s="101"/>
      <c r="G188" s="101"/>
      <c r="H188" s="103"/>
      <c r="I188" s="101"/>
    </row>
    <row r="189" spans="1:9" ht="14" x14ac:dyDescent="0.3">
      <c r="A189" s="102"/>
      <c r="B189" s="102"/>
      <c r="C189" s="101"/>
      <c r="D189" s="101"/>
      <c r="E189" s="101"/>
      <c r="F189" s="101"/>
      <c r="G189" s="101"/>
      <c r="H189" s="103"/>
      <c r="I189" s="101"/>
    </row>
    <row r="190" spans="1:9" ht="14" x14ac:dyDescent="0.3">
      <c r="A190" s="102"/>
      <c r="B190" s="102"/>
      <c r="C190" s="101"/>
      <c r="D190" s="101"/>
      <c r="E190" s="101"/>
      <c r="F190" s="101"/>
      <c r="G190" s="101"/>
      <c r="H190" s="103"/>
      <c r="I190" s="101"/>
    </row>
    <row r="191" spans="1:9" ht="14" x14ac:dyDescent="0.3">
      <c r="A191" s="102"/>
      <c r="B191" s="102"/>
      <c r="C191" s="101"/>
      <c r="D191" s="101"/>
      <c r="E191" s="101"/>
      <c r="F191" s="101"/>
      <c r="G191" s="101"/>
      <c r="H191" s="103"/>
      <c r="I191" s="101"/>
    </row>
    <row r="192" spans="1:9" ht="14" x14ac:dyDescent="0.3">
      <c r="A192" s="102"/>
      <c r="B192" s="102"/>
      <c r="C192" s="101"/>
      <c r="D192" s="101"/>
      <c r="E192" s="101"/>
      <c r="F192" s="101"/>
      <c r="G192" s="101"/>
      <c r="H192" s="103"/>
      <c r="I192" s="101"/>
    </row>
    <row r="193" spans="1:9" ht="14" x14ac:dyDescent="0.3">
      <c r="A193" s="102"/>
      <c r="B193" s="102"/>
      <c r="C193" s="101"/>
      <c r="D193" s="101"/>
      <c r="E193" s="101"/>
      <c r="F193" s="101"/>
      <c r="G193" s="101"/>
      <c r="H193" s="103"/>
      <c r="I193" s="101"/>
    </row>
    <row r="194" spans="1:9" ht="14" x14ac:dyDescent="0.3">
      <c r="A194" s="102"/>
      <c r="B194" s="102"/>
      <c r="C194" s="101"/>
      <c r="D194" s="101"/>
      <c r="E194" s="101"/>
      <c r="F194" s="101"/>
      <c r="G194" s="101"/>
      <c r="H194" s="103"/>
      <c r="I194" s="101"/>
    </row>
    <row r="195" spans="1:9" ht="14" x14ac:dyDescent="0.3">
      <c r="A195" s="102"/>
      <c r="B195" s="102"/>
      <c r="C195" s="101"/>
      <c r="D195" s="101"/>
      <c r="E195" s="101"/>
      <c r="F195" s="101"/>
      <c r="G195" s="101"/>
      <c r="H195" s="103"/>
      <c r="I195" s="101"/>
    </row>
    <row r="196" spans="1:9" ht="14" x14ac:dyDescent="0.3">
      <c r="A196" s="102"/>
      <c r="B196" s="102"/>
      <c r="C196" s="101"/>
      <c r="D196" s="101"/>
      <c r="E196" s="101"/>
      <c r="F196" s="101"/>
      <c r="G196" s="101"/>
      <c r="H196" s="103"/>
      <c r="I196" s="101"/>
    </row>
    <row r="197" spans="1:9" ht="14" x14ac:dyDescent="0.3">
      <c r="A197" s="102"/>
      <c r="B197" s="102"/>
      <c r="C197" s="101"/>
      <c r="D197" s="101"/>
      <c r="E197" s="101"/>
      <c r="F197" s="101"/>
      <c r="G197" s="101"/>
      <c r="H197" s="103"/>
      <c r="I197" s="101"/>
    </row>
    <row r="198" spans="1:9" ht="14" x14ac:dyDescent="0.3">
      <c r="A198" s="102"/>
      <c r="B198" s="102"/>
      <c r="C198" s="101"/>
      <c r="D198" s="101"/>
      <c r="E198" s="101"/>
      <c r="F198" s="101"/>
      <c r="G198" s="101"/>
      <c r="H198" s="103"/>
      <c r="I198" s="101"/>
    </row>
    <row r="199" spans="1:9" ht="14" x14ac:dyDescent="0.3">
      <c r="A199" s="102"/>
      <c r="B199" s="102"/>
      <c r="C199" s="101"/>
      <c r="D199" s="101"/>
      <c r="E199" s="101"/>
      <c r="F199" s="101"/>
      <c r="G199" s="101"/>
      <c r="H199" s="103"/>
      <c r="I199" s="101"/>
    </row>
    <row r="200" spans="1:9" ht="14" x14ac:dyDescent="0.3">
      <c r="A200" s="102"/>
      <c r="B200" s="102"/>
      <c r="C200" s="101"/>
      <c r="D200" s="101"/>
      <c r="E200" s="101"/>
      <c r="F200" s="101"/>
      <c r="G200" s="101"/>
      <c r="H200" s="103"/>
      <c r="I200" s="101"/>
    </row>
    <row r="201" spans="1:9" ht="14" x14ac:dyDescent="0.3">
      <c r="A201" s="102"/>
      <c r="B201" s="102"/>
      <c r="C201" s="101"/>
      <c r="D201" s="101"/>
      <c r="E201" s="101"/>
      <c r="F201" s="101"/>
      <c r="G201" s="101"/>
      <c r="H201" s="103"/>
      <c r="I201" s="101"/>
    </row>
    <row r="202" spans="1:9" ht="14" x14ac:dyDescent="0.3">
      <c r="A202" s="102"/>
      <c r="B202" s="102"/>
      <c r="C202" s="101"/>
      <c r="D202" s="101"/>
      <c r="E202" s="101"/>
      <c r="F202" s="101"/>
      <c r="G202" s="101"/>
      <c r="H202" s="103"/>
      <c r="I202" s="101"/>
    </row>
    <row r="203" spans="1:9" ht="14" x14ac:dyDescent="0.3">
      <c r="A203" s="102"/>
      <c r="B203" s="102"/>
      <c r="C203" s="101"/>
      <c r="D203" s="101"/>
      <c r="E203" s="101"/>
      <c r="F203" s="101"/>
      <c r="G203" s="101"/>
      <c r="H203" s="103"/>
      <c r="I203" s="101"/>
    </row>
    <row r="204" spans="1:9" ht="14" x14ac:dyDescent="0.3">
      <c r="A204" s="102"/>
      <c r="B204" s="102"/>
      <c r="C204" s="101"/>
      <c r="D204" s="101"/>
      <c r="E204" s="101"/>
      <c r="F204" s="101"/>
      <c r="G204" s="101"/>
      <c r="H204" s="103"/>
      <c r="I204" s="101"/>
    </row>
    <row r="205" spans="1:9" ht="14" x14ac:dyDescent="0.3">
      <c r="A205" s="102"/>
      <c r="B205" s="102"/>
      <c r="C205" s="101"/>
      <c r="D205" s="101"/>
      <c r="E205" s="101"/>
      <c r="F205" s="101"/>
      <c r="G205" s="101"/>
      <c r="H205" s="103"/>
      <c r="I205" s="101"/>
    </row>
    <row r="206" spans="1:9" ht="14" x14ac:dyDescent="0.3">
      <c r="A206" s="102"/>
      <c r="B206" s="102"/>
      <c r="C206" s="101"/>
      <c r="D206" s="101"/>
      <c r="E206" s="101"/>
      <c r="F206" s="101"/>
      <c r="G206" s="101"/>
      <c r="H206" s="103"/>
      <c r="I206" s="101"/>
    </row>
    <row r="207" spans="1:9" ht="14" x14ac:dyDescent="0.3">
      <c r="A207" s="102"/>
      <c r="B207" s="102"/>
      <c r="C207" s="101"/>
      <c r="D207" s="101"/>
      <c r="E207" s="101"/>
      <c r="F207" s="101"/>
      <c r="G207" s="101"/>
      <c r="H207" s="103"/>
      <c r="I207" s="101"/>
    </row>
    <row r="208" spans="1:9" ht="14" x14ac:dyDescent="0.3">
      <c r="A208" s="102"/>
      <c r="B208" s="102"/>
      <c r="C208" s="101"/>
      <c r="D208" s="101"/>
      <c r="E208" s="101"/>
      <c r="F208" s="101"/>
      <c r="G208" s="101"/>
      <c r="H208" s="103"/>
      <c r="I208" s="101"/>
    </row>
    <row r="209" spans="1:9" ht="14" x14ac:dyDescent="0.3">
      <c r="A209" s="102"/>
      <c r="B209" s="102"/>
      <c r="C209" s="101"/>
      <c r="D209" s="101"/>
      <c r="E209" s="101"/>
      <c r="F209" s="101"/>
      <c r="G209" s="101"/>
      <c r="H209" s="103"/>
      <c r="I209" s="101"/>
    </row>
    <row r="210" spans="1:9" ht="14" x14ac:dyDescent="0.3">
      <c r="A210" s="102"/>
      <c r="B210" s="102"/>
      <c r="C210" s="101"/>
      <c r="D210" s="101"/>
      <c r="E210" s="101"/>
      <c r="F210" s="101"/>
      <c r="G210" s="101"/>
      <c r="H210" s="103"/>
      <c r="I210" s="101"/>
    </row>
    <row r="211" spans="1:9" ht="14" x14ac:dyDescent="0.3">
      <c r="A211" s="102"/>
      <c r="B211" s="102"/>
      <c r="C211" s="101"/>
      <c r="D211" s="101"/>
      <c r="E211" s="101"/>
      <c r="F211" s="101"/>
      <c r="G211" s="101"/>
      <c r="H211" s="103"/>
      <c r="I211" s="101"/>
    </row>
    <row r="212" spans="1:9" ht="14" x14ac:dyDescent="0.3">
      <c r="A212" s="102"/>
      <c r="B212" s="102"/>
      <c r="C212" s="101"/>
      <c r="D212" s="101"/>
      <c r="E212" s="101"/>
      <c r="F212" s="101"/>
      <c r="G212" s="101"/>
      <c r="H212" s="103"/>
      <c r="I212" s="101"/>
    </row>
    <row r="213" spans="1:9" ht="14" x14ac:dyDescent="0.3">
      <c r="A213" s="102"/>
      <c r="B213" s="102"/>
      <c r="C213" s="101"/>
      <c r="D213" s="101"/>
      <c r="E213" s="101"/>
      <c r="F213" s="101"/>
      <c r="G213" s="101"/>
      <c r="H213" s="103"/>
      <c r="I213" s="101"/>
    </row>
    <row r="214" spans="1:9" ht="14" x14ac:dyDescent="0.3">
      <c r="A214" s="102"/>
      <c r="B214" s="102"/>
      <c r="C214" s="101"/>
      <c r="D214" s="101"/>
      <c r="E214" s="101"/>
      <c r="F214" s="101"/>
      <c r="G214" s="101"/>
      <c r="H214" s="103"/>
      <c r="I214" s="101"/>
    </row>
    <row r="215" spans="1:9" ht="14" x14ac:dyDescent="0.3">
      <c r="A215" s="102"/>
      <c r="B215" s="102"/>
      <c r="C215" s="101"/>
      <c r="D215" s="101"/>
      <c r="E215" s="101"/>
      <c r="F215" s="101"/>
      <c r="G215" s="101"/>
      <c r="H215" s="103"/>
      <c r="I215" s="101"/>
    </row>
    <row r="216" spans="1:9" ht="14" x14ac:dyDescent="0.3">
      <c r="A216" s="102"/>
      <c r="B216" s="102"/>
      <c r="C216" s="101"/>
      <c r="D216" s="101"/>
      <c r="E216" s="101"/>
      <c r="F216" s="101"/>
      <c r="G216" s="101"/>
      <c r="H216" s="103"/>
      <c r="I216" s="101"/>
    </row>
    <row r="217" spans="1:9" ht="14" x14ac:dyDescent="0.3">
      <c r="A217" s="102"/>
      <c r="B217" s="102"/>
      <c r="C217" s="101"/>
      <c r="D217" s="101"/>
      <c r="E217" s="101"/>
      <c r="F217" s="101"/>
      <c r="G217" s="101"/>
      <c r="H217" s="103"/>
      <c r="I217" s="101"/>
    </row>
    <row r="218" spans="1:9" ht="14" x14ac:dyDescent="0.3">
      <c r="A218" s="102"/>
      <c r="B218" s="102"/>
      <c r="C218" s="101"/>
      <c r="D218" s="101"/>
      <c r="E218" s="101"/>
      <c r="F218" s="101"/>
      <c r="G218" s="101"/>
      <c r="H218" s="103"/>
      <c r="I218" s="101"/>
    </row>
    <row r="219" spans="1:9" ht="14" x14ac:dyDescent="0.3">
      <c r="A219" s="102"/>
      <c r="B219" s="102"/>
      <c r="C219" s="101"/>
      <c r="D219" s="101"/>
      <c r="E219" s="101"/>
      <c r="F219" s="101"/>
      <c r="G219" s="101"/>
      <c r="H219" s="103"/>
      <c r="I219" s="101"/>
    </row>
    <row r="220" spans="1:9" ht="14" x14ac:dyDescent="0.3">
      <c r="A220" s="102"/>
      <c r="B220" s="102"/>
      <c r="C220" s="101"/>
      <c r="D220" s="101"/>
      <c r="E220" s="101"/>
      <c r="F220" s="101"/>
      <c r="G220" s="101"/>
      <c r="H220" s="103"/>
      <c r="I220" s="101"/>
    </row>
    <row r="221" spans="1:9" ht="14" x14ac:dyDescent="0.3">
      <c r="A221" s="102"/>
      <c r="B221" s="102"/>
      <c r="C221" s="101"/>
      <c r="D221" s="101"/>
      <c r="E221" s="101"/>
      <c r="F221" s="101"/>
      <c r="G221" s="101"/>
      <c r="H221" s="103"/>
      <c r="I221" s="101"/>
    </row>
    <row r="222" spans="1:9" ht="14" x14ac:dyDescent="0.3">
      <c r="A222" s="102"/>
      <c r="B222" s="102"/>
      <c r="C222" s="101"/>
      <c r="D222" s="101"/>
      <c r="E222" s="101"/>
      <c r="F222" s="101"/>
      <c r="G222" s="101"/>
      <c r="H222" s="103"/>
      <c r="I222" s="101"/>
    </row>
    <row r="223" spans="1:9" ht="14" x14ac:dyDescent="0.3">
      <c r="A223" s="102"/>
      <c r="B223" s="102"/>
      <c r="C223" s="101"/>
      <c r="D223" s="101"/>
      <c r="E223" s="101"/>
      <c r="F223" s="101"/>
      <c r="G223" s="101"/>
      <c r="H223" s="103"/>
      <c r="I223" s="101"/>
    </row>
    <row r="224" spans="1:9" ht="14" x14ac:dyDescent="0.3">
      <c r="A224" s="102"/>
      <c r="B224" s="102"/>
      <c r="C224" s="101"/>
      <c r="D224" s="101"/>
      <c r="E224" s="101"/>
      <c r="F224" s="101"/>
      <c r="G224" s="101"/>
      <c r="H224" s="103"/>
      <c r="I224" s="101"/>
    </row>
    <row r="225" spans="1:9" ht="14" x14ac:dyDescent="0.3">
      <c r="A225" s="102"/>
      <c r="B225" s="102"/>
      <c r="C225" s="101"/>
      <c r="D225" s="101"/>
      <c r="E225" s="101"/>
      <c r="F225" s="101"/>
      <c r="G225" s="101"/>
      <c r="H225" s="103"/>
      <c r="I225" s="101"/>
    </row>
    <row r="226" spans="1:9" ht="14" x14ac:dyDescent="0.3">
      <c r="A226" s="102"/>
      <c r="B226" s="102"/>
      <c r="C226" s="101"/>
      <c r="D226" s="101"/>
      <c r="E226" s="101"/>
      <c r="F226" s="101"/>
      <c r="G226" s="101"/>
      <c r="H226" s="103"/>
      <c r="I226" s="101"/>
    </row>
    <row r="227" spans="1:9" ht="14" x14ac:dyDescent="0.3">
      <c r="A227" s="102"/>
      <c r="B227" s="102"/>
      <c r="C227" s="101"/>
      <c r="D227" s="101"/>
      <c r="E227" s="101"/>
      <c r="F227" s="101"/>
      <c r="G227" s="101"/>
      <c r="H227" s="103"/>
      <c r="I227" s="101"/>
    </row>
    <row r="228" spans="1:9" ht="14" x14ac:dyDescent="0.3">
      <c r="A228" s="102"/>
      <c r="B228" s="102"/>
      <c r="C228" s="101"/>
      <c r="D228" s="101"/>
      <c r="E228" s="101"/>
      <c r="F228" s="101"/>
      <c r="G228" s="101"/>
      <c r="H228" s="103"/>
      <c r="I228" s="101"/>
    </row>
    <row r="229" spans="1:9" ht="14" x14ac:dyDescent="0.3">
      <c r="A229" s="102"/>
      <c r="B229" s="102"/>
      <c r="C229" s="101"/>
      <c r="D229" s="101"/>
      <c r="E229" s="101"/>
      <c r="F229" s="101"/>
      <c r="G229" s="101"/>
      <c r="H229" s="103"/>
      <c r="I229" s="101"/>
    </row>
    <row r="230" spans="1:9" ht="14" x14ac:dyDescent="0.3">
      <c r="A230" s="102"/>
      <c r="B230" s="102"/>
      <c r="C230" s="101"/>
      <c r="D230" s="101"/>
      <c r="E230" s="101"/>
      <c r="F230" s="101"/>
      <c r="G230" s="101"/>
      <c r="H230" s="103"/>
      <c r="I230" s="101"/>
    </row>
    <row r="231" spans="1:9" ht="14" x14ac:dyDescent="0.3">
      <c r="A231" s="102"/>
      <c r="B231" s="102"/>
      <c r="C231" s="101"/>
      <c r="D231" s="101"/>
      <c r="E231" s="101"/>
      <c r="F231" s="101"/>
      <c r="G231" s="101"/>
      <c r="H231" s="103"/>
      <c r="I231" s="101"/>
    </row>
    <row r="232" spans="1:9" ht="14" x14ac:dyDescent="0.3">
      <c r="A232" s="102"/>
      <c r="B232" s="102"/>
      <c r="C232" s="101"/>
      <c r="D232" s="101"/>
      <c r="E232" s="101"/>
      <c r="F232" s="101"/>
      <c r="G232" s="101"/>
      <c r="H232" s="103"/>
      <c r="I232" s="101"/>
    </row>
    <row r="233" spans="1:9" ht="14" x14ac:dyDescent="0.3">
      <c r="A233" s="102"/>
      <c r="B233" s="102"/>
      <c r="C233" s="101"/>
      <c r="D233" s="101"/>
      <c r="E233" s="101"/>
      <c r="F233" s="101"/>
      <c r="G233" s="101"/>
      <c r="H233" s="103"/>
      <c r="I233" s="101"/>
    </row>
    <row r="234" spans="1:9" ht="14" x14ac:dyDescent="0.3">
      <c r="A234" s="102"/>
      <c r="B234" s="102"/>
      <c r="C234" s="101"/>
      <c r="D234" s="101"/>
      <c r="E234" s="101"/>
      <c r="F234" s="101"/>
      <c r="G234" s="101"/>
      <c r="H234" s="103"/>
      <c r="I234" s="101"/>
    </row>
    <row r="235" spans="1:9" ht="14" x14ac:dyDescent="0.3">
      <c r="A235" s="102"/>
      <c r="B235" s="102"/>
      <c r="C235" s="101"/>
      <c r="D235" s="101"/>
      <c r="E235" s="101"/>
      <c r="F235" s="101"/>
      <c r="G235" s="101"/>
      <c r="H235" s="103"/>
      <c r="I235" s="101"/>
    </row>
    <row r="236" spans="1:9" ht="14" x14ac:dyDescent="0.3">
      <c r="A236" s="102"/>
      <c r="B236" s="102"/>
      <c r="C236" s="101"/>
      <c r="D236" s="101"/>
      <c r="E236" s="101"/>
      <c r="F236" s="101"/>
      <c r="G236" s="101"/>
      <c r="H236" s="103"/>
      <c r="I236" s="101"/>
    </row>
    <row r="237" spans="1:9" ht="14" x14ac:dyDescent="0.3">
      <c r="A237" s="102"/>
      <c r="B237" s="102"/>
      <c r="C237" s="101"/>
      <c r="D237" s="101"/>
      <c r="E237" s="101"/>
      <c r="F237" s="101"/>
      <c r="G237" s="101"/>
      <c r="H237" s="103"/>
      <c r="I237" s="101"/>
    </row>
    <row r="238" spans="1:9" ht="14" x14ac:dyDescent="0.3">
      <c r="A238" s="102"/>
      <c r="B238" s="102"/>
      <c r="C238" s="101"/>
      <c r="D238" s="101"/>
      <c r="E238" s="101"/>
      <c r="F238" s="101"/>
      <c r="G238" s="101"/>
      <c r="H238" s="103"/>
      <c r="I238" s="101"/>
    </row>
    <row r="239" spans="1:9" ht="14" x14ac:dyDescent="0.3">
      <c r="A239" s="102"/>
      <c r="B239" s="102"/>
      <c r="C239" s="101"/>
      <c r="D239" s="101"/>
      <c r="E239" s="101"/>
      <c r="F239" s="101"/>
      <c r="G239" s="101"/>
      <c r="H239" s="103"/>
      <c r="I239" s="101"/>
    </row>
    <row r="240" spans="1:9" ht="14" x14ac:dyDescent="0.3">
      <c r="A240" s="102"/>
      <c r="B240" s="102"/>
      <c r="C240" s="101"/>
      <c r="D240" s="101"/>
      <c r="E240" s="101"/>
      <c r="F240" s="101"/>
      <c r="G240" s="101"/>
      <c r="H240" s="103"/>
      <c r="I240" s="101"/>
    </row>
    <row r="241" spans="1:9" ht="14" x14ac:dyDescent="0.3">
      <c r="A241" s="102"/>
      <c r="B241" s="102"/>
      <c r="C241" s="101"/>
      <c r="D241" s="101"/>
      <c r="E241" s="101"/>
      <c r="F241" s="101"/>
      <c r="G241" s="101"/>
      <c r="H241" s="103"/>
      <c r="I241" s="101"/>
    </row>
    <row r="242" spans="1:9" ht="14" x14ac:dyDescent="0.3">
      <c r="A242" s="102"/>
      <c r="B242" s="102"/>
      <c r="C242" s="101"/>
      <c r="D242" s="101"/>
      <c r="E242" s="101"/>
      <c r="F242" s="101"/>
      <c r="G242" s="101"/>
      <c r="H242" s="103"/>
      <c r="I242" s="101"/>
    </row>
    <row r="243" spans="1:9" ht="14" x14ac:dyDescent="0.3">
      <c r="A243" s="102"/>
      <c r="B243" s="102"/>
      <c r="C243" s="101"/>
      <c r="D243" s="101"/>
      <c r="E243" s="101"/>
      <c r="F243" s="101"/>
      <c r="G243" s="101"/>
      <c r="H243" s="103"/>
      <c r="I243" s="101"/>
    </row>
    <row r="244" spans="1:9" ht="14" x14ac:dyDescent="0.3">
      <c r="A244" s="102"/>
      <c r="B244" s="102"/>
      <c r="C244" s="101"/>
      <c r="D244" s="101"/>
      <c r="E244" s="101"/>
      <c r="F244" s="101"/>
      <c r="G244" s="101"/>
      <c r="H244" s="103"/>
      <c r="I244" s="101"/>
    </row>
    <row r="245" spans="1:9" ht="14" x14ac:dyDescent="0.3">
      <c r="A245" s="102"/>
      <c r="B245" s="102"/>
      <c r="C245" s="101"/>
      <c r="D245" s="101"/>
      <c r="E245" s="101"/>
      <c r="F245" s="101"/>
      <c r="G245" s="101"/>
      <c r="H245" s="103"/>
      <c r="I245" s="101"/>
    </row>
    <row r="246" spans="1:9" ht="14" x14ac:dyDescent="0.3">
      <c r="A246" s="102"/>
      <c r="B246" s="102"/>
      <c r="C246" s="101"/>
      <c r="D246" s="101"/>
      <c r="E246" s="101"/>
      <c r="F246" s="101"/>
      <c r="G246" s="101"/>
      <c r="H246" s="103"/>
      <c r="I246" s="101"/>
    </row>
    <row r="247" spans="1:9" ht="14" x14ac:dyDescent="0.3">
      <c r="A247" s="102"/>
      <c r="B247" s="102"/>
      <c r="C247" s="101"/>
      <c r="D247" s="101"/>
      <c r="E247" s="101"/>
      <c r="F247" s="101"/>
      <c r="G247" s="101"/>
      <c r="H247" s="103"/>
      <c r="I247" s="101"/>
    </row>
    <row r="248" spans="1:9" ht="14" x14ac:dyDescent="0.3">
      <c r="A248" s="102"/>
      <c r="B248" s="102"/>
      <c r="C248" s="101"/>
      <c r="D248" s="101"/>
      <c r="E248" s="101"/>
      <c r="F248" s="101"/>
      <c r="G248" s="101"/>
      <c r="H248" s="103"/>
      <c r="I248" s="101"/>
    </row>
    <row r="249" spans="1:9" ht="14" x14ac:dyDescent="0.3">
      <c r="A249" s="102"/>
      <c r="B249" s="102"/>
      <c r="C249" s="101"/>
      <c r="D249" s="101"/>
      <c r="E249" s="101"/>
      <c r="F249" s="101"/>
      <c r="G249" s="101"/>
      <c r="H249" s="103"/>
      <c r="I249" s="101"/>
    </row>
    <row r="250" spans="1:9" ht="14" x14ac:dyDescent="0.3">
      <c r="A250" s="102"/>
      <c r="B250" s="102"/>
      <c r="C250" s="101"/>
      <c r="D250" s="101"/>
      <c r="E250" s="101"/>
      <c r="F250" s="101"/>
      <c r="G250" s="101"/>
      <c r="H250" s="103"/>
      <c r="I250" s="101"/>
    </row>
    <row r="251" spans="1:9" ht="14" x14ac:dyDescent="0.3">
      <c r="A251" s="102"/>
      <c r="B251" s="102"/>
      <c r="C251" s="101"/>
      <c r="D251" s="101"/>
      <c r="E251" s="101"/>
      <c r="F251" s="101"/>
      <c r="G251" s="101"/>
      <c r="H251" s="103"/>
      <c r="I251" s="101"/>
    </row>
    <row r="252" spans="1:9" ht="14" x14ac:dyDescent="0.3">
      <c r="A252" s="102"/>
      <c r="B252" s="102"/>
      <c r="C252" s="101"/>
      <c r="D252" s="101"/>
      <c r="E252" s="101"/>
      <c r="F252" s="101"/>
      <c r="G252" s="101"/>
      <c r="H252" s="103"/>
      <c r="I252" s="101"/>
    </row>
    <row r="253" spans="1:9" ht="14" x14ac:dyDescent="0.3">
      <c r="A253" s="102"/>
      <c r="B253" s="102"/>
      <c r="C253" s="101"/>
      <c r="D253" s="101"/>
      <c r="E253" s="101"/>
      <c r="F253" s="101"/>
      <c r="G253" s="101"/>
      <c r="H253" s="103"/>
      <c r="I253" s="101"/>
    </row>
    <row r="254" spans="1:9" ht="14" x14ac:dyDescent="0.3">
      <c r="A254" s="102"/>
      <c r="B254" s="102"/>
      <c r="C254" s="101"/>
      <c r="D254" s="101"/>
      <c r="E254" s="101"/>
      <c r="F254" s="101"/>
      <c r="G254" s="101"/>
      <c r="H254" s="103"/>
      <c r="I254" s="101"/>
    </row>
    <row r="255" spans="1:9" ht="14" x14ac:dyDescent="0.3">
      <c r="A255" s="102"/>
      <c r="B255" s="102"/>
      <c r="C255" s="101"/>
      <c r="D255" s="101"/>
      <c r="E255" s="101"/>
      <c r="F255" s="101"/>
      <c r="G255" s="101"/>
      <c r="H255" s="103"/>
      <c r="I255" s="101"/>
    </row>
    <row r="256" spans="1:9" ht="14" x14ac:dyDescent="0.3">
      <c r="A256" s="102"/>
      <c r="B256" s="102"/>
      <c r="C256" s="101"/>
      <c r="D256" s="101"/>
      <c r="E256" s="101"/>
      <c r="F256" s="101"/>
      <c r="G256" s="101"/>
      <c r="H256" s="103"/>
      <c r="I256" s="101"/>
    </row>
    <row r="257" spans="1:9" ht="14" x14ac:dyDescent="0.3">
      <c r="A257" s="102"/>
      <c r="B257" s="102"/>
      <c r="C257" s="101"/>
      <c r="D257" s="101"/>
      <c r="E257" s="101"/>
      <c r="F257" s="101"/>
      <c r="G257" s="101"/>
      <c r="H257" s="103"/>
      <c r="I257" s="101"/>
    </row>
    <row r="258" spans="1:9" ht="14" x14ac:dyDescent="0.3">
      <c r="A258" s="102"/>
      <c r="B258" s="102"/>
      <c r="C258" s="101"/>
      <c r="D258" s="101"/>
      <c r="E258" s="101"/>
      <c r="F258" s="101"/>
      <c r="G258" s="101"/>
      <c r="H258" s="103"/>
      <c r="I258" s="101"/>
    </row>
    <row r="259" spans="1:9" ht="14" x14ac:dyDescent="0.3">
      <c r="A259" s="102"/>
      <c r="B259" s="102"/>
      <c r="C259" s="101"/>
      <c r="D259" s="101"/>
      <c r="E259" s="101"/>
      <c r="F259" s="101"/>
      <c r="G259" s="101"/>
      <c r="H259" s="103"/>
      <c r="I259" s="101"/>
    </row>
    <row r="260" spans="1:9" ht="14" x14ac:dyDescent="0.3">
      <c r="A260" s="102"/>
      <c r="B260" s="102"/>
      <c r="C260" s="101"/>
      <c r="D260" s="101"/>
      <c r="E260" s="101"/>
      <c r="F260" s="101"/>
      <c r="G260" s="101"/>
      <c r="H260" s="103"/>
      <c r="I260" s="101"/>
    </row>
    <row r="261" spans="1:9" ht="14" x14ac:dyDescent="0.3">
      <c r="A261" s="102"/>
      <c r="B261" s="102"/>
      <c r="C261" s="101"/>
      <c r="D261" s="101"/>
      <c r="E261" s="101"/>
      <c r="F261" s="101"/>
      <c r="G261" s="101"/>
      <c r="H261" s="103"/>
      <c r="I261" s="101"/>
    </row>
    <row r="262" spans="1:9" ht="14" x14ac:dyDescent="0.3">
      <c r="A262" s="102"/>
      <c r="B262" s="102"/>
      <c r="C262" s="101"/>
      <c r="D262" s="101"/>
      <c r="E262" s="101"/>
      <c r="F262" s="101"/>
      <c r="G262" s="101"/>
      <c r="H262" s="103"/>
      <c r="I262" s="101"/>
    </row>
    <row r="263" spans="1:9" ht="14" x14ac:dyDescent="0.3">
      <c r="A263" s="102"/>
      <c r="B263" s="102"/>
      <c r="C263" s="101"/>
      <c r="D263" s="101"/>
      <c r="E263" s="101"/>
      <c r="F263" s="101"/>
      <c r="G263" s="101"/>
      <c r="H263" s="103"/>
      <c r="I263" s="101"/>
    </row>
    <row r="264" spans="1:9" ht="14" x14ac:dyDescent="0.3">
      <c r="A264" s="102"/>
      <c r="B264" s="102"/>
      <c r="C264" s="101"/>
      <c r="D264" s="101"/>
      <c r="E264" s="101"/>
      <c r="F264" s="101"/>
      <c r="G264" s="101"/>
      <c r="H264" s="103"/>
      <c r="I264" s="101"/>
    </row>
  </sheetData>
  <mergeCells count="7">
    <mergeCell ref="AA10:AB10"/>
    <mergeCell ref="E10:G10"/>
    <mergeCell ref="I10:K10"/>
    <mergeCell ref="M10:N10"/>
    <mergeCell ref="P10:R10"/>
    <mergeCell ref="T10:U10"/>
    <mergeCell ref="W10:Y10"/>
  </mergeCells>
  <pageMargins left="0.7" right="0.7" top="0.75" bottom="0.75" header="0.3" footer="0.3"/>
  <pageSetup scale="34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3365-0B23-4BE6-AADE-EF1A3E9E6C5B}">
  <sheetPr>
    <tabColor theme="3" tint="0.59999389629810485"/>
    <pageSetUpPr fitToPage="1"/>
  </sheetPr>
  <dimension ref="A1:AC97"/>
  <sheetViews>
    <sheetView zoomScaleNormal="100" workbookViewId="0"/>
  </sheetViews>
  <sheetFormatPr defaultColWidth="8.7265625" defaultRowHeight="14" x14ac:dyDescent="0.3"/>
  <cols>
    <col min="1" max="1" width="4.453125" style="2" customWidth="1"/>
    <col min="2" max="2" width="4.453125" style="2" bestFit="1" customWidth="1"/>
    <col min="3" max="6" width="11.81640625" style="2" customWidth="1"/>
    <col min="7" max="7" width="1.7265625" style="2" customWidth="1"/>
    <col min="8" max="10" width="11.81640625" style="2" customWidth="1"/>
    <col min="11" max="11" width="1.7265625" style="2" customWidth="1"/>
    <col min="12" max="13" width="11.81640625" style="2" customWidth="1"/>
    <col min="14" max="14" width="2" style="2" customWidth="1"/>
    <col min="15" max="17" width="11.81640625" style="2" customWidth="1"/>
    <col min="18" max="18" width="2" style="2" customWidth="1"/>
    <col min="19" max="20" width="11.81640625" style="2" customWidth="1"/>
    <col min="21" max="21" width="2.1796875" style="2" customWidth="1"/>
    <col min="22" max="24" width="11.81640625" style="2" customWidth="1"/>
    <col min="25" max="25" width="2.1796875" style="2" customWidth="1"/>
    <col min="26" max="27" width="11.81640625" style="2" customWidth="1"/>
    <col min="28" max="16384" width="8.7265625" style="2"/>
  </cols>
  <sheetData>
    <row r="1" spans="1:27" x14ac:dyDescent="0.3">
      <c r="A1" s="1">
        <v>1</v>
      </c>
    </row>
    <row r="2" spans="1:27" x14ac:dyDescent="0.3">
      <c r="A2" s="1">
        <f>A1+1</f>
        <v>2</v>
      </c>
    </row>
    <row r="3" spans="1:27" x14ac:dyDescent="0.3">
      <c r="A3" s="1">
        <f t="shared" ref="A3:A55" si="0">A2+1</f>
        <v>3</v>
      </c>
      <c r="B3" s="24" t="s">
        <v>40</v>
      </c>
    </row>
    <row r="4" spans="1:27" x14ac:dyDescent="0.3">
      <c r="A4" s="1">
        <f t="shared" si="0"/>
        <v>4</v>
      </c>
      <c r="B4" s="24" t="s">
        <v>41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</row>
    <row r="5" spans="1:27" x14ac:dyDescent="0.3">
      <c r="A5" s="1">
        <f t="shared" si="0"/>
        <v>5</v>
      </c>
      <c r="B5" s="24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</row>
    <row r="6" spans="1:27" x14ac:dyDescent="0.3">
      <c r="A6" s="1">
        <f t="shared" si="0"/>
        <v>6</v>
      </c>
      <c r="B6" s="24" t="s">
        <v>133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</row>
    <row r="7" spans="1:27" x14ac:dyDescent="0.3">
      <c r="A7" s="1">
        <f t="shared" si="0"/>
        <v>7</v>
      </c>
      <c r="B7" s="24" t="s">
        <v>134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</row>
    <row r="8" spans="1:27" x14ac:dyDescent="0.3">
      <c r="A8" s="1">
        <f t="shared" si="0"/>
        <v>8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</row>
    <row r="9" spans="1:27" x14ac:dyDescent="0.3">
      <c r="A9" s="1">
        <f t="shared" si="0"/>
        <v>9</v>
      </c>
      <c r="B9" s="104"/>
      <c r="C9" s="44"/>
      <c r="D9" s="44"/>
      <c r="E9" s="44"/>
      <c r="F9" s="131"/>
      <c r="G9" s="44"/>
    </row>
    <row r="10" spans="1:27" x14ac:dyDescent="0.3">
      <c r="A10" s="1">
        <f t="shared" si="0"/>
        <v>10</v>
      </c>
      <c r="B10" s="104"/>
      <c r="C10" s="44"/>
      <c r="D10" s="44"/>
      <c r="E10" s="44"/>
      <c r="F10" s="132"/>
      <c r="G10" s="44"/>
    </row>
    <row r="11" spans="1:27" x14ac:dyDescent="0.3">
      <c r="A11" s="1">
        <f t="shared" si="0"/>
        <v>11</v>
      </c>
      <c r="B11" s="31"/>
      <c r="C11" s="104" t="s">
        <v>2</v>
      </c>
      <c r="D11" s="32" t="str">
        <f>'EMA R1'!D10</f>
        <v>2024 Monthly Bill</v>
      </c>
      <c r="E11" s="32"/>
      <c r="F11" s="32"/>
      <c r="G11" s="133"/>
      <c r="H11" s="32" t="str">
        <f>'EMA R1'!H10</f>
        <v>2025 Illustrative Monthly Bill</v>
      </c>
      <c r="I11" s="32"/>
      <c r="J11" s="32"/>
      <c r="K11" s="23"/>
      <c r="L11" s="32" t="str">
        <f>'EMA R1'!L10</f>
        <v>2025 vs. 2024</v>
      </c>
      <c r="M11" s="32"/>
      <c r="N11" s="27"/>
      <c r="O11" s="32" t="str">
        <f>'EMA R1'!O10</f>
        <v>2026 Illustrative Monthly Bill</v>
      </c>
      <c r="P11" s="32"/>
      <c r="Q11" s="32"/>
      <c r="R11" s="133"/>
      <c r="S11" s="32" t="str">
        <f>'EMA R1'!S10</f>
        <v>2026 vs. 2025</v>
      </c>
      <c r="T11" s="32"/>
      <c r="U11" s="23"/>
      <c r="V11" s="32" t="str">
        <f>'EMA R1'!V10</f>
        <v>2027 Illustrative Monthly Bill</v>
      </c>
      <c r="W11" s="32"/>
      <c r="X11" s="32"/>
      <c r="Y11" s="133"/>
      <c r="Z11" s="32" t="str">
        <f>'EMA R1'!Z10</f>
        <v>2027 vs. 2026</v>
      </c>
      <c r="AA11" s="32"/>
    </row>
    <row r="12" spans="1:27" x14ac:dyDescent="0.3">
      <c r="A12" s="1">
        <f t="shared" si="0"/>
        <v>12</v>
      </c>
      <c r="B12" s="31"/>
      <c r="C12" s="134" t="s">
        <v>11</v>
      </c>
      <c r="D12" s="34" t="s">
        <v>48</v>
      </c>
      <c r="E12" s="34" t="s">
        <v>49</v>
      </c>
      <c r="F12" s="34" t="s">
        <v>50</v>
      </c>
      <c r="G12" s="34"/>
      <c r="H12" s="34" t="s">
        <v>48</v>
      </c>
      <c r="I12" s="34" t="s">
        <v>49</v>
      </c>
      <c r="J12" s="34" t="s">
        <v>50</v>
      </c>
      <c r="K12" s="23"/>
      <c r="L12" s="34" t="s">
        <v>51</v>
      </c>
      <c r="M12" s="34" t="s">
        <v>14</v>
      </c>
      <c r="N12" s="34"/>
      <c r="O12" s="34" t="s">
        <v>48</v>
      </c>
      <c r="P12" s="34" t="s">
        <v>49</v>
      </c>
      <c r="Q12" s="34" t="s">
        <v>50</v>
      </c>
      <c r="R12" s="34"/>
      <c r="S12" s="34" t="s">
        <v>51</v>
      </c>
      <c r="T12" s="34" t="s">
        <v>14</v>
      </c>
      <c r="U12" s="23"/>
      <c r="V12" s="34" t="s">
        <v>48</v>
      </c>
      <c r="W12" s="34" t="s">
        <v>49</v>
      </c>
      <c r="X12" s="34" t="s">
        <v>50</v>
      </c>
      <c r="Y12" s="34"/>
      <c r="Z12" s="34" t="s">
        <v>51</v>
      </c>
      <c r="AA12" s="34" t="s">
        <v>14</v>
      </c>
    </row>
    <row r="13" spans="1:27" x14ac:dyDescent="0.3">
      <c r="A13" s="1">
        <f t="shared" si="0"/>
        <v>13</v>
      </c>
      <c r="B13" s="31"/>
      <c r="C13" s="105">
        <v>10</v>
      </c>
      <c r="D13" s="135">
        <f t="shared" ref="D13:D23" si="1">ROUND(H$58*$C13+H$57,2)</f>
        <v>16.13</v>
      </c>
      <c r="E13" s="36">
        <f t="shared" ref="E13:E22" si="2">ROUND($H$59*C13,2)</f>
        <v>1.57</v>
      </c>
      <c r="F13" s="36">
        <f>SUM(D13:E13)</f>
        <v>17.7</v>
      </c>
      <c r="G13" s="36"/>
      <c r="H13" s="135">
        <f t="shared" ref="H13:H22" si="3">ROUND(I$58*$C13+I$57,2)</f>
        <v>16.32</v>
      </c>
      <c r="I13" s="36">
        <f t="shared" ref="I13:I23" si="4">ROUND($I$59*C13,2)</f>
        <v>1.57</v>
      </c>
      <c r="J13" s="36">
        <f>SUM(H13:I13)</f>
        <v>17.89</v>
      </c>
      <c r="K13" s="37"/>
      <c r="L13" s="36">
        <f>+J13-F13</f>
        <v>0.19000000000000128</v>
      </c>
      <c r="M13" s="39">
        <f>+L13/F13</f>
        <v>1.0734463276836231E-2</v>
      </c>
      <c r="N13" s="39"/>
      <c r="O13" s="135">
        <f>ROUND(J$58*$C13+J$57,2)</f>
        <v>16.350000000000001</v>
      </c>
      <c r="P13" s="36">
        <f>ROUND($J$59*C13,2)</f>
        <v>1.57</v>
      </c>
      <c r="Q13" s="36">
        <f>SUM(O13:P13)</f>
        <v>17.920000000000002</v>
      </c>
      <c r="R13" s="36"/>
      <c r="S13" s="36">
        <f>+Q13-J13</f>
        <v>3.0000000000001137E-2</v>
      </c>
      <c r="T13" s="39">
        <f>+S13/J13</f>
        <v>1.6769144773617181E-3</v>
      </c>
      <c r="U13" s="23"/>
      <c r="V13" s="135">
        <f>ROUND(L$58*$C13+L$57,2)</f>
        <v>16.34</v>
      </c>
      <c r="W13" s="36">
        <f t="shared" ref="W13:W23" si="5">ROUND($L$59*C13,2)</f>
        <v>1.57</v>
      </c>
      <c r="X13" s="36">
        <f>SUM(V13:W13)</f>
        <v>17.91</v>
      </c>
      <c r="Y13" s="36"/>
      <c r="Z13" s="36">
        <f>X13-Q13</f>
        <v>-1.0000000000001563E-2</v>
      </c>
      <c r="AA13" s="39">
        <f>+Z13/Q13</f>
        <v>-5.5803571428580142E-4</v>
      </c>
    </row>
    <row r="14" spans="1:27" x14ac:dyDescent="0.3">
      <c r="A14" s="1">
        <f t="shared" si="0"/>
        <v>14</v>
      </c>
      <c r="B14" s="31"/>
      <c r="C14" s="105">
        <v>50</v>
      </c>
      <c r="D14" s="135">
        <f>ROUND(H$58*$C14+H$57,2)</f>
        <v>20.66</v>
      </c>
      <c r="E14" s="36">
        <f t="shared" si="2"/>
        <v>7.84</v>
      </c>
      <c r="F14" s="36">
        <f t="shared" ref="F14:F22" si="6">SUM(D14:E14)</f>
        <v>28.5</v>
      </c>
      <c r="G14" s="36"/>
      <c r="H14" s="135">
        <f t="shared" si="3"/>
        <v>21.58</v>
      </c>
      <c r="I14" s="36">
        <f t="shared" si="4"/>
        <v>7.84</v>
      </c>
      <c r="J14" s="36">
        <f t="shared" ref="J14:J23" si="7">SUM(H14:I14)</f>
        <v>29.419999999999998</v>
      </c>
      <c r="K14" s="37"/>
      <c r="L14" s="36">
        <f t="shared" ref="L14:L23" si="8">+J14-F14</f>
        <v>0.91999999999999815</v>
      </c>
      <c r="M14" s="39">
        <f t="shared" ref="M14:M23" si="9">+L14/F14</f>
        <v>3.2280701754385903E-2</v>
      </c>
      <c r="N14" s="39"/>
      <c r="O14" s="135">
        <f t="shared" ref="O14:O23" si="10">ROUND(J$58*$C14+J$57,2)</f>
        <v>21.73</v>
      </c>
      <c r="P14" s="36">
        <f t="shared" ref="P14:P23" si="11">ROUND($J$59*C14,2)</f>
        <v>7.84</v>
      </c>
      <c r="Q14" s="36">
        <f t="shared" ref="Q14:Q23" si="12">SUM(O14:P14)</f>
        <v>29.57</v>
      </c>
      <c r="R14" s="36"/>
      <c r="S14" s="36">
        <f t="shared" ref="S14:S23" si="13">+Q14-J14</f>
        <v>0.15000000000000213</v>
      </c>
      <c r="T14" s="39">
        <f t="shared" ref="T14:T23" si="14">+S14/J14</f>
        <v>5.098572399728149E-3</v>
      </c>
      <c r="U14" s="23"/>
      <c r="V14" s="135">
        <f t="shared" ref="V14:V23" si="15">ROUND(L$58*$C14+L$57,2)</f>
        <v>21.72</v>
      </c>
      <c r="W14" s="36">
        <f t="shared" si="5"/>
        <v>7.84</v>
      </c>
      <c r="X14" s="36">
        <f t="shared" ref="X14:X23" si="16">SUM(V14:W14)</f>
        <v>29.56</v>
      </c>
      <c r="Y14" s="36"/>
      <c r="Z14" s="36">
        <f t="shared" ref="Z14:Z23" si="17">X14-Q14</f>
        <v>-1.0000000000001563E-2</v>
      </c>
      <c r="AA14" s="39">
        <f t="shared" ref="AA14:AA23" si="18">+Z14/Q14</f>
        <v>-3.3818058843427672E-4</v>
      </c>
    </row>
    <row r="15" spans="1:27" x14ac:dyDescent="0.3">
      <c r="A15" s="1">
        <f t="shared" si="0"/>
        <v>15</v>
      </c>
      <c r="B15" s="31"/>
      <c r="C15" s="105">
        <v>100</v>
      </c>
      <c r="D15" s="135">
        <f t="shared" si="1"/>
        <v>26.32</v>
      </c>
      <c r="E15" s="36">
        <f>ROUND($H$59*C15,2)</f>
        <v>15.68</v>
      </c>
      <c r="F15" s="36">
        <f t="shared" si="6"/>
        <v>42</v>
      </c>
      <c r="G15" s="36"/>
      <c r="H15" s="135">
        <f>ROUND(I$58*$C15+I$57,2)</f>
        <v>28.17</v>
      </c>
      <c r="I15" s="36">
        <f t="shared" si="4"/>
        <v>15.68</v>
      </c>
      <c r="J15" s="36">
        <f t="shared" si="7"/>
        <v>43.85</v>
      </c>
      <c r="K15" s="37"/>
      <c r="L15" s="36">
        <f t="shared" si="8"/>
        <v>1.8500000000000014</v>
      </c>
      <c r="M15" s="39">
        <f t="shared" si="9"/>
        <v>4.4047619047619078E-2</v>
      </c>
      <c r="N15" s="39"/>
      <c r="O15" s="135">
        <f>ROUND(J$58*$C15+J$57,2)</f>
        <v>28.46</v>
      </c>
      <c r="P15" s="36">
        <f t="shared" si="11"/>
        <v>15.68</v>
      </c>
      <c r="Q15" s="36">
        <f t="shared" si="12"/>
        <v>44.14</v>
      </c>
      <c r="R15" s="36"/>
      <c r="S15" s="36">
        <f t="shared" si="13"/>
        <v>0.28999999999999915</v>
      </c>
      <c r="T15" s="39">
        <f t="shared" si="14"/>
        <v>6.6134549600912005E-3</v>
      </c>
      <c r="U15" s="23"/>
      <c r="V15" s="135">
        <f t="shared" si="15"/>
        <v>28.44</v>
      </c>
      <c r="W15" s="36">
        <f t="shared" si="5"/>
        <v>15.68</v>
      </c>
      <c r="X15" s="36">
        <f t="shared" si="16"/>
        <v>44.120000000000005</v>
      </c>
      <c r="Y15" s="36"/>
      <c r="Z15" s="36">
        <f t="shared" si="17"/>
        <v>-1.9999999999996021E-2</v>
      </c>
      <c r="AA15" s="39">
        <f t="shared" si="18"/>
        <v>-4.5310376076112418E-4</v>
      </c>
    </row>
    <row r="16" spans="1:27" x14ac:dyDescent="0.3">
      <c r="A16" s="1">
        <f t="shared" si="0"/>
        <v>16</v>
      </c>
      <c r="B16" s="31"/>
      <c r="C16" s="105">
        <v>200</v>
      </c>
      <c r="D16" s="135">
        <f t="shared" si="1"/>
        <v>37.630000000000003</v>
      </c>
      <c r="E16" s="36">
        <f t="shared" si="2"/>
        <v>31.35</v>
      </c>
      <c r="F16" s="36">
        <f t="shared" si="6"/>
        <v>68.98</v>
      </c>
      <c r="G16" s="36"/>
      <c r="H16" s="135">
        <f t="shared" si="3"/>
        <v>41.34</v>
      </c>
      <c r="I16" s="36">
        <f t="shared" si="4"/>
        <v>31.35</v>
      </c>
      <c r="J16" s="36">
        <f t="shared" si="7"/>
        <v>72.69</v>
      </c>
      <c r="K16" s="37"/>
      <c r="L16" s="36">
        <f t="shared" si="8"/>
        <v>3.7099999999999937</v>
      </c>
      <c r="M16" s="39">
        <f t="shared" si="9"/>
        <v>5.3783705421861318E-2</v>
      </c>
      <c r="N16" s="39"/>
      <c r="O16" s="135">
        <f t="shared" si="10"/>
        <v>41.93</v>
      </c>
      <c r="P16" s="36">
        <f t="shared" si="11"/>
        <v>31.35</v>
      </c>
      <c r="Q16" s="36">
        <f t="shared" si="12"/>
        <v>73.28</v>
      </c>
      <c r="R16" s="36"/>
      <c r="S16" s="36">
        <f t="shared" si="13"/>
        <v>0.59000000000000341</v>
      </c>
      <c r="T16" s="39">
        <f t="shared" si="14"/>
        <v>8.1166597881414705E-3</v>
      </c>
      <c r="U16" s="23"/>
      <c r="V16" s="135">
        <f>ROUND(L$58*$C16+L$57,2)</f>
        <v>41.89</v>
      </c>
      <c r="W16" s="36">
        <f t="shared" si="5"/>
        <v>31.35</v>
      </c>
      <c r="X16" s="36">
        <f t="shared" si="16"/>
        <v>73.240000000000009</v>
      </c>
      <c r="Y16" s="36"/>
      <c r="Z16" s="36">
        <f t="shared" si="17"/>
        <v>-3.9999999999992042E-2</v>
      </c>
      <c r="AA16" s="39">
        <f t="shared" si="18"/>
        <v>-5.4585152838417092E-4</v>
      </c>
    </row>
    <row r="17" spans="1:27" x14ac:dyDescent="0.3">
      <c r="A17" s="1">
        <f t="shared" si="0"/>
        <v>17</v>
      </c>
      <c r="B17" s="31"/>
      <c r="C17" s="105">
        <v>350</v>
      </c>
      <c r="D17" s="135">
        <f t="shared" si="1"/>
        <v>54.61</v>
      </c>
      <c r="E17" s="36">
        <f t="shared" si="2"/>
        <v>54.87</v>
      </c>
      <c r="F17" s="36">
        <f t="shared" si="6"/>
        <v>109.47999999999999</v>
      </c>
      <c r="G17" s="36"/>
      <c r="H17" s="135">
        <f t="shared" si="3"/>
        <v>61.09</v>
      </c>
      <c r="I17" s="36">
        <f t="shared" si="4"/>
        <v>54.87</v>
      </c>
      <c r="J17" s="36">
        <f t="shared" si="7"/>
        <v>115.96000000000001</v>
      </c>
      <c r="K17" s="37"/>
      <c r="L17" s="36">
        <f>+J17-F17</f>
        <v>6.4800000000000182</v>
      </c>
      <c r="M17" s="39">
        <f>+L17/F17</f>
        <v>5.9188892948483916E-2</v>
      </c>
      <c r="N17" s="39"/>
      <c r="O17" s="135">
        <f t="shared" si="10"/>
        <v>62.12</v>
      </c>
      <c r="P17" s="36">
        <f t="shared" si="11"/>
        <v>54.87</v>
      </c>
      <c r="Q17" s="36">
        <f t="shared" si="12"/>
        <v>116.99</v>
      </c>
      <c r="R17" s="36"/>
      <c r="S17" s="36">
        <f t="shared" si="13"/>
        <v>1.0299999999999869</v>
      </c>
      <c r="T17" s="39">
        <f t="shared" si="14"/>
        <v>8.8823732321489032E-3</v>
      </c>
      <c r="U17" s="23"/>
      <c r="V17" s="135">
        <f t="shared" si="15"/>
        <v>62.05</v>
      </c>
      <c r="W17" s="36">
        <f t="shared" si="5"/>
        <v>54.87</v>
      </c>
      <c r="X17" s="36">
        <f t="shared" si="16"/>
        <v>116.91999999999999</v>
      </c>
      <c r="Y17" s="36"/>
      <c r="Z17" s="36">
        <f t="shared" si="17"/>
        <v>-7.000000000000739E-2</v>
      </c>
      <c r="AA17" s="39">
        <f t="shared" si="18"/>
        <v>-5.9834173861020084E-4</v>
      </c>
    </row>
    <row r="18" spans="1:27" x14ac:dyDescent="0.3">
      <c r="A18" s="1">
        <f t="shared" si="0"/>
        <v>18</v>
      </c>
      <c r="B18" s="31"/>
      <c r="C18" s="105">
        <v>600</v>
      </c>
      <c r="D18" s="135">
        <f t="shared" si="1"/>
        <v>82.9</v>
      </c>
      <c r="E18" s="36">
        <f t="shared" si="2"/>
        <v>94.06</v>
      </c>
      <c r="F18" s="36">
        <f t="shared" si="6"/>
        <v>176.96</v>
      </c>
      <c r="G18" s="36"/>
      <c r="H18" s="135">
        <f t="shared" si="3"/>
        <v>94.01</v>
      </c>
      <c r="I18" s="36">
        <f>ROUND($I$59*C18,2)</f>
        <v>94.06</v>
      </c>
      <c r="J18" s="36">
        <f t="shared" si="7"/>
        <v>188.07</v>
      </c>
      <c r="K18" s="37"/>
      <c r="L18" s="36">
        <f t="shared" si="8"/>
        <v>11.109999999999985</v>
      </c>
      <c r="M18" s="39">
        <f t="shared" si="9"/>
        <v>6.2782549728752177E-2</v>
      </c>
      <c r="N18" s="39"/>
      <c r="O18" s="135">
        <f t="shared" si="10"/>
        <v>95.78</v>
      </c>
      <c r="P18" s="36">
        <f>ROUND($J$59*C18,2)</f>
        <v>94.06</v>
      </c>
      <c r="Q18" s="36">
        <f t="shared" si="12"/>
        <v>189.84</v>
      </c>
      <c r="R18" s="36"/>
      <c r="S18" s="36">
        <f>+Q18-J18</f>
        <v>1.7700000000000102</v>
      </c>
      <c r="T18" s="39">
        <f>+S18/J18</f>
        <v>9.411389376296115E-3</v>
      </c>
      <c r="U18" s="23"/>
      <c r="V18" s="135">
        <f t="shared" si="15"/>
        <v>95.66</v>
      </c>
      <c r="W18" s="36">
        <f t="shared" si="5"/>
        <v>94.06</v>
      </c>
      <c r="X18" s="36">
        <f t="shared" si="16"/>
        <v>189.72</v>
      </c>
      <c r="Y18" s="36"/>
      <c r="Z18" s="36">
        <f>X18-Q18</f>
        <v>-0.12000000000000455</v>
      </c>
      <c r="AA18" s="39">
        <f t="shared" si="18"/>
        <v>-6.3211125158030203E-4</v>
      </c>
    </row>
    <row r="19" spans="1:27" x14ac:dyDescent="0.3">
      <c r="A19" s="1">
        <f t="shared" si="0"/>
        <v>19</v>
      </c>
      <c r="B19" s="31"/>
      <c r="C19" s="105">
        <v>1000</v>
      </c>
      <c r="D19" s="135">
        <f>ROUND(H$58*$C19+H$57,2)</f>
        <v>128.16999999999999</v>
      </c>
      <c r="E19" s="36">
        <f t="shared" si="2"/>
        <v>156.77000000000001</v>
      </c>
      <c r="F19" s="36">
        <f t="shared" si="6"/>
        <v>284.94</v>
      </c>
      <c r="G19" s="36"/>
      <c r="H19" s="135">
        <f t="shared" si="3"/>
        <v>146.68</v>
      </c>
      <c r="I19" s="36">
        <f t="shared" si="4"/>
        <v>156.77000000000001</v>
      </c>
      <c r="J19" s="36">
        <f t="shared" si="7"/>
        <v>303.45000000000005</v>
      </c>
      <c r="K19" s="37"/>
      <c r="L19" s="36">
        <f t="shared" si="8"/>
        <v>18.510000000000048</v>
      </c>
      <c r="M19" s="39">
        <f t="shared" si="9"/>
        <v>6.4961044430406567E-2</v>
      </c>
      <c r="N19" s="39"/>
      <c r="O19" s="135">
        <f t="shared" si="10"/>
        <v>149.63</v>
      </c>
      <c r="P19" s="36">
        <f t="shared" si="11"/>
        <v>156.77000000000001</v>
      </c>
      <c r="Q19" s="36">
        <f t="shared" si="12"/>
        <v>306.39999999999998</v>
      </c>
      <c r="R19" s="36"/>
      <c r="S19" s="36">
        <f t="shared" si="13"/>
        <v>2.9499999999999318</v>
      </c>
      <c r="T19" s="39">
        <f t="shared" si="14"/>
        <v>9.7215356730925399E-3</v>
      </c>
      <c r="U19" s="23"/>
      <c r="V19" s="135">
        <f t="shared" si="15"/>
        <v>149.43</v>
      </c>
      <c r="W19" s="36">
        <f t="shared" si="5"/>
        <v>156.77000000000001</v>
      </c>
      <c r="X19" s="36">
        <f t="shared" si="16"/>
        <v>306.20000000000005</v>
      </c>
      <c r="Y19" s="36"/>
      <c r="Z19" s="36">
        <f t="shared" si="17"/>
        <v>-0.19999999999993179</v>
      </c>
      <c r="AA19" s="39">
        <f t="shared" si="18"/>
        <v>-6.5274151436009074E-4</v>
      </c>
    </row>
    <row r="20" spans="1:27" x14ac:dyDescent="0.3">
      <c r="A20" s="1">
        <f t="shared" si="0"/>
        <v>20</v>
      </c>
      <c r="B20" s="31"/>
      <c r="C20" s="105">
        <v>2000</v>
      </c>
      <c r="D20" s="135">
        <f t="shared" si="1"/>
        <v>241.34</v>
      </c>
      <c r="E20" s="36">
        <f t="shared" si="2"/>
        <v>313.54000000000002</v>
      </c>
      <c r="F20" s="36">
        <f t="shared" si="6"/>
        <v>554.88</v>
      </c>
      <c r="G20" s="36"/>
      <c r="H20" s="135">
        <f t="shared" si="3"/>
        <v>278.36</v>
      </c>
      <c r="I20" s="36">
        <f t="shared" si="4"/>
        <v>313.54000000000002</v>
      </c>
      <c r="J20" s="36">
        <f t="shared" si="7"/>
        <v>591.90000000000009</v>
      </c>
      <c r="K20" s="37"/>
      <c r="L20" s="36">
        <f t="shared" si="8"/>
        <v>37.020000000000095</v>
      </c>
      <c r="M20" s="39">
        <f t="shared" si="9"/>
        <v>6.671712802768183E-2</v>
      </c>
      <c r="N20" s="39"/>
      <c r="O20" s="135">
        <f t="shared" si="10"/>
        <v>284.26</v>
      </c>
      <c r="P20" s="36">
        <f t="shared" si="11"/>
        <v>313.54000000000002</v>
      </c>
      <c r="Q20" s="36">
        <f t="shared" si="12"/>
        <v>597.79999999999995</v>
      </c>
      <c r="R20" s="36"/>
      <c r="S20" s="36">
        <f t="shared" si="13"/>
        <v>5.8999999999998636</v>
      </c>
      <c r="T20" s="39">
        <f t="shared" si="14"/>
        <v>9.9678999831050216E-3</v>
      </c>
      <c r="U20" s="23"/>
      <c r="V20" s="135">
        <f t="shared" si="15"/>
        <v>283.86</v>
      </c>
      <c r="W20" s="36">
        <f>ROUND($L$59*C20,2)</f>
        <v>313.54000000000002</v>
      </c>
      <c r="X20" s="36">
        <f t="shared" si="16"/>
        <v>597.40000000000009</v>
      </c>
      <c r="Y20" s="36"/>
      <c r="Z20" s="36">
        <f t="shared" si="17"/>
        <v>-0.39999999999986358</v>
      </c>
      <c r="AA20" s="39">
        <f t="shared" si="18"/>
        <v>-6.69120107058989E-4</v>
      </c>
    </row>
    <row r="21" spans="1:27" x14ac:dyDescent="0.3">
      <c r="A21" s="1">
        <f t="shared" si="0"/>
        <v>21</v>
      </c>
      <c r="B21" s="31"/>
      <c r="C21" s="105">
        <v>4000</v>
      </c>
      <c r="D21" s="135">
        <f t="shared" si="1"/>
        <v>467.68</v>
      </c>
      <c r="E21" s="36">
        <f t="shared" si="2"/>
        <v>627.08000000000004</v>
      </c>
      <c r="F21" s="36">
        <f t="shared" si="6"/>
        <v>1094.76</v>
      </c>
      <c r="G21" s="36"/>
      <c r="H21" s="135">
        <f t="shared" si="3"/>
        <v>541.72</v>
      </c>
      <c r="I21" s="36">
        <f>ROUND($I$59*C21,2)</f>
        <v>627.08000000000004</v>
      </c>
      <c r="J21" s="36">
        <f t="shared" si="7"/>
        <v>1168.8000000000002</v>
      </c>
      <c r="K21" s="37"/>
      <c r="L21" s="36">
        <f t="shared" si="8"/>
        <v>74.040000000000191</v>
      </c>
      <c r="M21" s="39">
        <f t="shared" si="9"/>
        <v>6.7631261646388427E-2</v>
      </c>
      <c r="N21" s="39"/>
      <c r="O21" s="135">
        <f t="shared" si="10"/>
        <v>553.52</v>
      </c>
      <c r="P21" s="36">
        <f t="shared" si="11"/>
        <v>627.08000000000004</v>
      </c>
      <c r="Q21" s="36">
        <f t="shared" si="12"/>
        <v>1180.5999999999999</v>
      </c>
      <c r="R21" s="36"/>
      <c r="S21" s="36">
        <f t="shared" si="13"/>
        <v>11.799999999999727</v>
      </c>
      <c r="T21" s="39">
        <f t="shared" si="14"/>
        <v>1.0095824777549389E-2</v>
      </c>
      <c r="U21" s="23"/>
      <c r="V21" s="135">
        <f t="shared" si="15"/>
        <v>552.72</v>
      </c>
      <c r="W21" s="36">
        <f t="shared" si="5"/>
        <v>627.08000000000004</v>
      </c>
      <c r="X21" s="36">
        <f t="shared" si="16"/>
        <v>1179.8000000000002</v>
      </c>
      <c r="Y21" s="36"/>
      <c r="Z21" s="36">
        <f t="shared" si="17"/>
        <v>-0.79999999999972715</v>
      </c>
      <c r="AA21" s="39">
        <f t="shared" si="18"/>
        <v>-6.7762154836500694E-4</v>
      </c>
    </row>
    <row r="22" spans="1:27" x14ac:dyDescent="0.3">
      <c r="A22" s="1">
        <f t="shared" si="0"/>
        <v>22</v>
      </c>
      <c r="B22" s="31"/>
      <c r="C22" s="105">
        <v>14000</v>
      </c>
      <c r="D22" s="135">
        <f t="shared" si="1"/>
        <v>1599.38</v>
      </c>
      <c r="E22" s="36">
        <f t="shared" si="2"/>
        <v>2194.7800000000002</v>
      </c>
      <c r="F22" s="36">
        <f t="shared" si="6"/>
        <v>3794.1600000000003</v>
      </c>
      <c r="G22" s="36"/>
      <c r="H22" s="135">
        <f t="shared" si="3"/>
        <v>1858.52</v>
      </c>
      <c r="I22" s="36">
        <f t="shared" si="4"/>
        <v>2194.7800000000002</v>
      </c>
      <c r="J22" s="36">
        <f t="shared" si="7"/>
        <v>4053.3</v>
      </c>
      <c r="K22" s="37"/>
      <c r="L22" s="36">
        <f t="shared" si="8"/>
        <v>259.13999999999987</v>
      </c>
      <c r="M22" s="39">
        <f t="shared" si="9"/>
        <v>6.8299702700993073E-2</v>
      </c>
      <c r="N22" s="39"/>
      <c r="O22" s="135">
        <f t="shared" si="10"/>
        <v>1899.82</v>
      </c>
      <c r="P22" s="36">
        <f t="shared" si="11"/>
        <v>2194.7800000000002</v>
      </c>
      <c r="Q22" s="36">
        <f t="shared" si="12"/>
        <v>4094.6000000000004</v>
      </c>
      <c r="R22" s="36"/>
      <c r="S22" s="36">
        <f t="shared" si="13"/>
        <v>41.300000000000182</v>
      </c>
      <c r="T22" s="39">
        <f t="shared" si="14"/>
        <v>1.0189228529839929E-2</v>
      </c>
      <c r="U22" s="23"/>
      <c r="V22" s="135">
        <f t="shared" si="15"/>
        <v>1897.02</v>
      </c>
      <c r="W22" s="36">
        <f>ROUND($L$59*C22,2)</f>
        <v>2194.7800000000002</v>
      </c>
      <c r="X22" s="36">
        <f t="shared" si="16"/>
        <v>4091.8</v>
      </c>
      <c r="Y22" s="36"/>
      <c r="Z22" s="36">
        <f t="shared" si="17"/>
        <v>-2.8000000000001819</v>
      </c>
      <c r="AA22" s="39">
        <f t="shared" si="18"/>
        <v>-6.8382748009578021E-4</v>
      </c>
    </row>
    <row r="23" spans="1:27" x14ac:dyDescent="0.3">
      <c r="A23" s="1">
        <f t="shared" si="0"/>
        <v>23</v>
      </c>
      <c r="B23" s="31" t="s">
        <v>52</v>
      </c>
      <c r="C23" s="105">
        <v>2250</v>
      </c>
      <c r="D23" s="135">
        <f t="shared" si="1"/>
        <v>269.63</v>
      </c>
      <c r="E23" s="36">
        <f>ROUND($H$59*C23,2)</f>
        <v>352.73</v>
      </c>
      <c r="F23" s="135">
        <f t="shared" ref="F23" si="19">SUM(D23:E23)</f>
        <v>622.36</v>
      </c>
      <c r="G23" s="136"/>
      <c r="H23" s="135">
        <f>ROUND(I$58*$C23+I$57,2)</f>
        <v>311.27999999999997</v>
      </c>
      <c r="I23" s="36">
        <f t="shared" si="4"/>
        <v>352.73</v>
      </c>
      <c r="J23" s="135">
        <f t="shared" si="7"/>
        <v>664.01</v>
      </c>
      <c r="K23" s="136"/>
      <c r="L23" s="135">
        <f t="shared" si="8"/>
        <v>41.649999999999977</v>
      </c>
      <c r="M23" s="137">
        <f t="shared" si="9"/>
        <v>6.6922681406260009E-2</v>
      </c>
      <c r="N23" s="137"/>
      <c r="O23" s="135">
        <f t="shared" si="10"/>
        <v>317.92</v>
      </c>
      <c r="P23" s="36">
        <f t="shared" si="11"/>
        <v>352.73</v>
      </c>
      <c r="Q23" s="135">
        <f t="shared" si="12"/>
        <v>670.65000000000009</v>
      </c>
      <c r="R23" s="137"/>
      <c r="S23" s="36">
        <f t="shared" si="13"/>
        <v>6.6400000000001</v>
      </c>
      <c r="T23" s="39">
        <f t="shared" si="14"/>
        <v>9.9998493998585871E-3</v>
      </c>
      <c r="U23" s="137"/>
      <c r="V23" s="135">
        <f t="shared" si="15"/>
        <v>317.47000000000003</v>
      </c>
      <c r="W23" s="36">
        <f t="shared" si="5"/>
        <v>352.73</v>
      </c>
      <c r="X23" s="135">
        <f t="shared" si="16"/>
        <v>670.2</v>
      </c>
      <c r="Y23" s="138"/>
      <c r="Z23" s="36">
        <f t="shared" si="17"/>
        <v>-0.45000000000004547</v>
      </c>
      <c r="AA23" s="39">
        <f t="shared" si="18"/>
        <v>-6.7099082979206058E-4</v>
      </c>
    </row>
    <row r="24" spans="1:27" x14ac:dyDescent="0.3">
      <c r="A24" s="1">
        <f t="shared" si="0"/>
        <v>24</v>
      </c>
      <c r="B24" s="31"/>
      <c r="C24" s="105"/>
      <c r="D24" s="135"/>
      <c r="E24" s="135"/>
      <c r="F24" s="139"/>
      <c r="G24" s="140"/>
      <c r="H24" s="135"/>
      <c r="I24" s="135"/>
      <c r="J24" s="135"/>
      <c r="K24" s="44"/>
      <c r="L24" s="139"/>
      <c r="M24" s="137"/>
      <c r="N24" s="137"/>
      <c r="O24" s="137"/>
      <c r="P24" s="137"/>
      <c r="Q24" s="137"/>
      <c r="R24" s="137"/>
      <c r="S24" s="137"/>
      <c r="T24" s="137"/>
      <c r="U24" s="137"/>
      <c r="V24" s="137"/>
    </row>
    <row r="25" spans="1:27" x14ac:dyDescent="0.3">
      <c r="A25" s="1">
        <f t="shared" si="0"/>
        <v>25</v>
      </c>
      <c r="B25" s="31"/>
      <c r="C25" s="44"/>
      <c r="D25" s="44"/>
      <c r="E25" s="44"/>
      <c r="F25" s="141"/>
      <c r="G25" s="44"/>
    </row>
    <row r="26" spans="1:27" x14ac:dyDescent="0.3">
      <c r="A26" s="1">
        <f t="shared" si="0"/>
        <v>26</v>
      </c>
      <c r="B26" s="31"/>
      <c r="C26" s="44"/>
      <c r="G26" s="44"/>
      <c r="H26" s="45">
        <f>'EMA R1'!H28</f>
        <v>2024</v>
      </c>
      <c r="I26" s="45">
        <f>'EMA R1'!I28</f>
        <v>2025</v>
      </c>
      <c r="J26" s="45">
        <f>'EMA R1'!J28</f>
        <v>2026</v>
      </c>
      <c r="K26" s="45"/>
      <c r="L26" s="45">
        <f>'EMA R1'!L28</f>
        <v>2027</v>
      </c>
      <c r="M26" s="45" t="str">
        <f>'EMA R1'!M28</f>
        <v>2025 v 2024</v>
      </c>
      <c r="N26" s="45"/>
      <c r="O26" s="45" t="str">
        <f>'EMA R1'!O28</f>
        <v>2026 v 2025</v>
      </c>
      <c r="P26" s="45" t="str">
        <f>'EMA R1'!P28</f>
        <v>2027 v 2026</v>
      </c>
    </row>
    <row r="27" spans="1:27" x14ac:dyDescent="0.3">
      <c r="A27" s="1">
        <f t="shared" si="0"/>
        <v>27</v>
      </c>
      <c r="B27" s="31"/>
      <c r="G27" s="44"/>
      <c r="H27" s="47" t="str">
        <f>+'WMA 23'!H24</f>
        <v>Rates</v>
      </c>
      <c r="I27" s="47" t="s">
        <v>57</v>
      </c>
      <c r="J27" s="47" t="s">
        <v>57</v>
      </c>
      <c r="K27" s="37"/>
      <c r="L27" s="47" t="s">
        <v>57</v>
      </c>
      <c r="M27" s="48" t="s">
        <v>51</v>
      </c>
      <c r="N27" s="22"/>
      <c r="O27" s="48" t="s">
        <v>51</v>
      </c>
      <c r="P27" s="48" t="s">
        <v>51</v>
      </c>
      <c r="Q27" s="23"/>
      <c r="R27" s="23"/>
      <c r="S27" s="23"/>
      <c r="T27" s="23"/>
      <c r="U27" s="23"/>
      <c r="V27" s="23"/>
    </row>
    <row r="28" spans="1:27" x14ac:dyDescent="0.3">
      <c r="A28" s="1">
        <f t="shared" si="0"/>
        <v>28</v>
      </c>
      <c r="B28" s="31"/>
      <c r="C28" s="44" t="str">
        <f>+'WMA R1'!C30</f>
        <v>Customer Charge</v>
      </c>
      <c r="G28" s="142"/>
      <c r="H28" s="88">
        <v>15</v>
      </c>
      <c r="I28" s="49">
        <f t="shared" ref="I28:I55" si="20">+H28</f>
        <v>15</v>
      </c>
      <c r="J28" s="49">
        <f t="shared" ref="J28:J55" si="21">H28</f>
        <v>15</v>
      </c>
      <c r="K28" s="37"/>
      <c r="L28" s="49">
        <f t="shared" ref="L28:L55" si="22">H28</f>
        <v>15</v>
      </c>
      <c r="M28" s="50">
        <f t="shared" ref="M28:M55" si="23">+I28-H28</f>
        <v>0</v>
      </c>
      <c r="N28" s="50"/>
      <c r="O28" s="50">
        <f t="shared" ref="O28:O55" si="24">+J28-I28</f>
        <v>0</v>
      </c>
      <c r="P28" s="50">
        <f t="shared" ref="P28:P55" si="25">+L28-J28</f>
        <v>0</v>
      </c>
      <c r="Q28" s="51" t="s">
        <v>59</v>
      </c>
      <c r="R28" s="23"/>
      <c r="S28" s="23"/>
      <c r="T28" s="23"/>
      <c r="U28" s="23"/>
      <c r="V28" s="23"/>
    </row>
    <row r="29" spans="1:27" x14ac:dyDescent="0.3">
      <c r="A29" s="1">
        <f t="shared" si="0"/>
        <v>29</v>
      </c>
      <c r="B29" s="31"/>
      <c r="C29" s="44" t="str">
        <f>+'WMA R1'!C31</f>
        <v>Distribution Energy</v>
      </c>
      <c r="G29" s="92"/>
      <c r="H29" s="91">
        <v>5.2630000000000003E-2</v>
      </c>
      <c r="I29" s="53">
        <f t="shared" si="20"/>
        <v>5.2630000000000003E-2</v>
      </c>
      <c r="J29" s="53">
        <f t="shared" si="21"/>
        <v>5.2630000000000003E-2</v>
      </c>
      <c r="K29" s="37"/>
      <c r="L29" s="53">
        <f t="shared" si="22"/>
        <v>5.2630000000000003E-2</v>
      </c>
      <c r="M29" s="54">
        <f t="shared" si="23"/>
        <v>0</v>
      </c>
      <c r="N29" s="54"/>
      <c r="O29" s="54">
        <f t="shared" si="24"/>
        <v>0</v>
      </c>
      <c r="P29" s="54">
        <f t="shared" si="25"/>
        <v>0</v>
      </c>
      <c r="Q29" s="51" t="s">
        <v>59</v>
      </c>
      <c r="R29" s="23"/>
      <c r="S29" s="23"/>
      <c r="T29" s="23"/>
      <c r="U29" s="23"/>
      <c r="V29" s="23"/>
    </row>
    <row r="30" spans="1:27" x14ac:dyDescent="0.3">
      <c r="A30" s="1">
        <f t="shared" si="0"/>
        <v>30</v>
      </c>
      <c r="B30" s="31"/>
      <c r="C30" s="44" t="str">
        <f>+'WMA R1'!C32</f>
        <v>Exogenous Cost Adjustment</v>
      </c>
      <c r="G30" s="92"/>
      <c r="H30" s="91">
        <v>7.5000000000000002E-4</v>
      </c>
      <c r="I30" s="53">
        <f t="shared" si="20"/>
        <v>7.5000000000000002E-4</v>
      </c>
      <c r="J30" s="53">
        <f t="shared" si="21"/>
        <v>7.5000000000000002E-4</v>
      </c>
      <c r="K30" s="37"/>
      <c r="L30" s="53">
        <f t="shared" si="22"/>
        <v>7.5000000000000002E-4</v>
      </c>
      <c r="M30" s="54">
        <f t="shared" si="23"/>
        <v>0</v>
      </c>
      <c r="N30" s="54"/>
      <c r="O30" s="54">
        <f t="shared" si="24"/>
        <v>0</v>
      </c>
      <c r="P30" s="54">
        <f t="shared" si="25"/>
        <v>0</v>
      </c>
      <c r="Q30" s="51" t="str">
        <f>+'EMA R1'!Q32</f>
        <v>ECA</v>
      </c>
      <c r="R30" s="23"/>
      <c r="S30" s="23"/>
      <c r="T30" s="23"/>
      <c r="U30" s="23"/>
      <c r="V30" s="23"/>
    </row>
    <row r="31" spans="1:27" x14ac:dyDescent="0.3">
      <c r="A31" s="1">
        <f t="shared" si="0"/>
        <v>31</v>
      </c>
      <c r="B31" s="31"/>
      <c r="C31" s="44" t="str">
        <f>+'WMA R1'!C33</f>
        <v>Revenue Decoupling</v>
      </c>
      <c r="G31" s="92"/>
      <c r="H31" s="91">
        <v>4.0000000000000003E-5</v>
      </c>
      <c r="I31" s="53">
        <f t="shared" si="20"/>
        <v>4.0000000000000003E-5</v>
      </c>
      <c r="J31" s="53">
        <f t="shared" si="21"/>
        <v>4.0000000000000003E-5</v>
      </c>
      <c r="K31" s="37"/>
      <c r="L31" s="53">
        <f t="shared" si="22"/>
        <v>4.0000000000000003E-5</v>
      </c>
      <c r="M31" s="54">
        <f t="shared" si="23"/>
        <v>0</v>
      </c>
      <c r="N31" s="54"/>
      <c r="O31" s="54">
        <f t="shared" si="24"/>
        <v>0</v>
      </c>
      <c r="P31" s="54">
        <f t="shared" si="25"/>
        <v>0</v>
      </c>
      <c r="Q31" s="51" t="str">
        <f>+'EMA R1'!Q33</f>
        <v>RDAF</v>
      </c>
      <c r="R31" s="23"/>
      <c r="S31" s="23"/>
      <c r="T31" s="23"/>
      <c r="U31" s="23"/>
      <c r="V31" s="23"/>
    </row>
    <row r="32" spans="1:27" x14ac:dyDescent="0.3">
      <c r="A32" s="1">
        <f t="shared" si="0"/>
        <v>32</v>
      </c>
      <c r="B32" s="31"/>
      <c r="C32" s="44" t="str">
        <f>+'WMA R1'!C34</f>
        <v>Distributed Solar Charge</v>
      </c>
      <c r="D32" s="37"/>
      <c r="E32" s="37"/>
      <c r="G32" s="92"/>
      <c r="H32" s="91">
        <v>5.8999999999999999E-3</v>
      </c>
      <c r="I32" s="53">
        <f t="shared" si="20"/>
        <v>5.8999999999999999E-3</v>
      </c>
      <c r="J32" s="53">
        <f t="shared" si="21"/>
        <v>5.8999999999999999E-3</v>
      </c>
      <c r="K32" s="37"/>
      <c r="L32" s="53">
        <f t="shared" si="22"/>
        <v>5.8999999999999999E-3</v>
      </c>
      <c r="M32" s="54">
        <f t="shared" si="23"/>
        <v>0</v>
      </c>
      <c r="N32" s="54"/>
      <c r="O32" s="54">
        <f t="shared" si="24"/>
        <v>0</v>
      </c>
      <c r="P32" s="54">
        <f t="shared" si="25"/>
        <v>0</v>
      </c>
      <c r="Q32" s="51" t="str">
        <f>+'EMA R1'!Q34</f>
        <v>SMART</v>
      </c>
    </row>
    <row r="33" spans="1:22" x14ac:dyDescent="0.3">
      <c r="A33" s="1">
        <f t="shared" si="0"/>
        <v>33</v>
      </c>
      <c r="B33" s="31"/>
      <c r="C33" s="44" t="str">
        <f>+'WMA R1'!C35</f>
        <v>Residential Assistance Adjustment Factor</v>
      </c>
      <c r="G33" s="92"/>
      <c r="H33" s="53">
        <v>6.0200000000000002E-3</v>
      </c>
      <c r="I33" s="53">
        <f t="shared" si="20"/>
        <v>6.0200000000000002E-3</v>
      </c>
      <c r="J33" s="53">
        <f t="shared" si="21"/>
        <v>6.0200000000000002E-3</v>
      </c>
      <c r="K33" s="37"/>
      <c r="L33" s="53">
        <f t="shared" si="22"/>
        <v>6.0200000000000002E-3</v>
      </c>
      <c r="M33" s="54">
        <f t="shared" si="23"/>
        <v>0</v>
      </c>
      <c r="N33" s="54"/>
      <c r="O33" s="54">
        <f t="shared" si="24"/>
        <v>0</v>
      </c>
      <c r="P33" s="54">
        <f t="shared" si="25"/>
        <v>0</v>
      </c>
      <c r="Q33" s="51" t="str">
        <f>+'EMA R1'!Q35</f>
        <v>RAAF</v>
      </c>
      <c r="R33" s="23"/>
      <c r="S33" s="23"/>
      <c r="T33" s="23"/>
      <c r="U33" s="23"/>
      <c r="V33" s="23"/>
    </row>
    <row r="34" spans="1:22" x14ac:dyDescent="0.3">
      <c r="A34" s="1">
        <f t="shared" si="0"/>
        <v>34</v>
      </c>
      <c r="B34" s="31"/>
      <c r="C34" s="44" t="str">
        <f>+'WMA R1'!C36</f>
        <v>Pension Adjustment Factor</v>
      </c>
      <c r="G34" s="92"/>
      <c r="H34" s="53">
        <v>5.8E-4</v>
      </c>
      <c r="I34" s="53">
        <f t="shared" si="20"/>
        <v>5.8E-4</v>
      </c>
      <c r="J34" s="53">
        <f t="shared" si="21"/>
        <v>5.8E-4</v>
      </c>
      <c r="K34" s="37"/>
      <c r="L34" s="53">
        <f t="shared" si="22"/>
        <v>5.8E-4</v>
      </c>
      <c r="M34" s="54">
        <f t="shared" si="23"/>
        <v>0</v>
      </c>
      <c r="N34" s="54"/>
      <c r="O34" s="54">
        <f t="shared" si="24"/>
        <v>0</v>
      </c>
      <c r="P34" s="54">
        <f t="shared" si="25"/>
        <v>0</v>
      </c>
      <c r="Q34" s="51" t="str">
        <f>+'EMA R1'!Q36</f>
        <v>PAF</v>
      </c>
      <c r="R34" s="23"/>
      <c r="S34" s="23"/>
      <c r="T34" s="23"/>
      <c r="U34" s="23"/>
      <c r="V34" s="23"/>
    </row>
    <row r="35" spans="1:22" x14ac:dyDescent="0.3">
      <c r="A35" s="1">
        <f t="shared" si="0"/>
        <v>35</v>
      </c>
      <c r="B35" s="31"/>
      <c r="C35" s="44" t="str">
        <f>+'WMA R1'!C37</f>
        <v>Net Metering Recovery Surcharge</v>
      </c>
      <c r="G35" s="92"/>
      <c r="H35" s="91">
        <v>1.197E-2</v>
      </c>
      <c r="I35" s="53">
        <f t="shared" si="20"/>
        <v>1.197E-2</v>
      </c>
      <c r="J35" s="53">
        <f t="shared" si="21"/>
        <v>1.197E-2</v>
      </c>
      <c r="K35" s="37"/>
      <c r="L35" s="53">
        <f t="shared" si="22"/>
        <v>1.197E-2</v>
      </c>
      <c r="M35" s="54">
        <f t="shared" si="23"/>
        <v>0</v>
      </c>
      <c r="N35" s="54"/>
      <c r="O35" s="54">
        <f t="shared" si="24"/>
        <v>0</v>
      </c>
      <c r="P35" s="54">
        <f t="shared" si="25"/>
        <v>0</v>
      </c>
      <c r="Q35" s="51" t="str">
        <f>+'EMA R1'!Q37</f>
        <v>NMRS</v>
      </c>
      <c r="R35" s="23"/>
      <c r="S35" s="23"/>
      <c r="T35" s="23"/>
      <c r="U35" s="23"/>
      <c r="V35" s="23"/>
    </row>
    <row r="36" spans="1:22" x14ac:dyDescent="0.3">
      <c r="A36" s="1">
        <f t="shared" si="0"/>
        <v>36</v>
      </c>
      <c r="B36" s="31"/>
      <c r="C36" s="44" t="str">
        <f>+'WMA R1'!C38</f>
        <v>Long Term Renewable Contract Adjustment</v>
      </c>
      <c r="G36" s="92"/>
      <c r="H36" s="53">
        <v>-1.9300000000000001E-3</v>
      </c>
      <c r="I36" s="53">
        <f t="shared" si="20"/>
        <v>-1.9300000000000001E-3</v>
      </c>
      <c r="J36" s="53">
        <f t="shared" si="21"/>
        <v>-1.9300000000000001E-3</v>
      </c>
      <c r="K36" s="37"/>
      <c r="L36" s="53">
        <f t="shared" si="22"/>
        <v>-1.9300000000000001E-3</v>
      </c>
      <c r="M36" s="54">
        <f t="shared" si="23"/>
        <v>0</v>
      </c>
      <c r="N36" s="54"/>
      <c r="O36" s="54">
        <f t="shared" si="24"/>
        <v>0</v>
      </c>
      <c r="P36" s="54">
        <f t="shared" si="25"/>
        <v>0</v>
      </c>
      <c r="Q36" s="51" t="str">
        <f>+'EMA R1'!Q38</f>
        <v>LTRCA</v>
      </c>
      <c r="R36" s="23"/>
      <c r="S36" s="23"/>
      <c r="T36" s="23"/>
      <c r="U36" s="23"/>
      <c r="V36" s="23"/>
    </row>
    <row r="37" spans="1:22" x14ac:dyDescent="0.3">
      <c r="A37" s="1">
        <f t="shared" si="0"/>
        <v>37</v>
      </c>
      <c r="B37" s="31"/>
      <c r="C37" s="44" t="str">
        <f>+'WMA R1'!C39</f>
        <v>AG Consulting Expense</v>
      </c>
      <c r="G37" s="92"/>
      <c r="H37" s="53">
        <v>4.0000000000000003E-5</v>
      </c>
      <c r="I37" s="53">
        <f t="shared" si="20"/>
        <v>4.0000000000000003E-5</v>
      </c>
      <c r="J37" s="53">
        <f t="shared" si="21"/>
        <v>4.0000000000000003E-5</v>
      </c>
      <c r="K37" s="37"/>
      <c r="L37" s="53">
        <f t="shared" si="22"/>
        <v>4.0000000000000003E-5</v>
      </c>
      <c r="M37" s="54">
        <f t="shared" si="23"/>
        <v>0</v>
      </c>
      <c r="N37" s="54"/>
      <c r="O37" s="54">
        <f t="shared" si="24"/>
        <v>0</v>
      </c>
      <c r="P37" s="54">
        <f t="shared" si="25"/>
        <v>0</v>
      </c>
      <c r="Q37" s="51" t="str">
        <f>+'EMA R1'!Q39</f>
        <v>AGCE</v>
      </c>
      <c r="R37" s="23"/>
      <c r="S37" s="23"/>
      <c r="T37" s="23"/>
      <c r="U37" s="23"/>
      <c r="V37" s="23"/>
    </row>
    <row r="38" spans="1:22" x14ac:dyDescent="0.3">
      <c r="A38" s="1">
        <f t="shared" si="0"/>
        <v>38</v>
      </c>
      <c r="B38" s="31"/>
      <c r="C38" s="44" t="str">
        <f>+'WMA R1'!C40</f>
        <v>Storm Cost Recovery Adjustment Factor</v>
      </c>
      <c r="G38" s="92"/>
      <c r="H38" s="53">
        <v>4.8900000000000002E-3</v>
      </c>
      <c r="I38" s="53">
        <f t="shared" si="20"/>
        <v>4.8900000000000002E-3</v>
      </c>
      <c r="J38" s="53">
        <f t="shared" si="21"/>
        <v>4.8900000000000002E-3</v>
      </c>
      <c r="K38" s="37"/>
      <c r="L38" s="53">
        <f t="shared" si="22"/>
        <v>4.8900000000000002E-3</v>
      </c>
      <c r="M38" s="54">
        <f t="shared" si="23"/>
        <v>0</v>
      </c>
      <c r="N38" s="54"/>
      <c r="O38" s="54">
        <f t="shared" si="24"/>
        <v>0</v>
      </c>
      <c r="P38" s="54">
        <f t="shared" si="25"/>
        <v>0</v>
      </c>
      <c r="Q38" s="51" t="str">
        <f>+'EMA R1'!Q40</f>
        <v>SCRA</v>
      </c>
      <c r="R38" s="23"/>
      <c r="S38" s="23"/>
      <c r="T38" s="23"/>
      <c r="U38" s="23"/>
      <c r="V38" s="23"/>
    </row>
    <row r="39" spans="1:22" x14ac:dyDescent="0.3">
      <c r="A39" s="1">
        <f t="shared" si="0"/>
        <v>39</v>
      </c>
      <c r="B39" s="31"/>
      <c r="C39" s="44" t="str">
        <f>+'WMA R1'!C41</f>
        <v>Storm Reserve Adjustment</v>
      </c>
      <c r="G39" s="92"/>
      <c r="H39" s="53">
        <v>0</v>
      </c>
      <c r="I39" s="53">
        <f t="shared" si="20"/>
        <v>0</v>
      </c>
      <c r="J39" s="53">
        <f t="shared" si="21"/>
        <v>0</v>
      </c>
      <c r="K39" s="37"/>
      <c r="L39" s="53">
        <f t="shared" si="22"/>
        <v>0</v>
      </c>
      <c r="M39" s="54">
        <f t="shared" si="23"/>
        <v>0</v>
      </c>
      <c r="N39" s="54"/>
      <c r="O39" s="54">
        <f t="shared" si="24"/>
        <v>0</v>
      </c>
      <c r="P39" s="54">
        <f t="shared" si="25"/>
        <v>0</v>
      </c>
      <c r="Q39" s="51" t="str">
        <f>+'EMA R1'!Q41</f>
        <v>SRA</v>
      </c>
      <c r="R39" s="23"/>
      <c r="S39" s="23"/>
      <c r="T39" s="23"/>
      <c r="U39" s="23"/>
      <c r="V39" s="23"/>
    </row>
    <row r="40" spans="1:22" x14ac:dyDescent="0.3">
      <c r="A40" s="1">
        <f t="shared" si="0"/>
        <v>40</v>
      </c>
      <c r="B40" s="31"/>
      <c r="C40" s="44" t="str">
        <f>+'WMA R1'!C42</f>
        <v>Basic Service Cost True Up Factor</v>
      </c>
      <c r="G40" s="92"/>
      <c r="H40" s="53">
        <v>-3.4000000000000002E-4</v>
      </c>
      <c r="I40" s="53">
        <f t="shared" si="20"/>
        <v>-3.4000000000000002E-4</v>
      </c>
      <c r="J40" s="53">
        <f t="shared" si="21"/>
        <v>-3.4000000000000002E-4</v>
      </c>
      <c r="K40" s="37"/>
      <c r="L40" s="53">
        <f t="shared" si="22"/>
        <v>-3.4000000000000002E-4</v>
      </c>
      <c r="M40" s="54">
        <f t="shared" si="23"/>
        <v>0</v>
      </c>
      <c r="N40" s="54"/>
      <c r="O40" s="54">
        <f t="shared" si="24"/>
        <v>0</v>
      </c>
      <c r="P40" s="54">
        <f t="shared" si="25"/>
        <v>0</v>
      </c>
      <c r="Q40" s="51" t="str">
        <f>+'EMA R1'!Q42</f>
        <v>BSTF</v>
      </c>
      <c r="R40" s="23"/>
      <c r="S40" s="23"/>
      <c r="T40" s="23"/>
      <c r="U40" s="23"/>
      <c r="V40" s="23"/>
    </row>
    <row r="41" spans="1:22" x14ac:dyDescent="0.3">
      <c r="A41" s="1">
        <f t="shared" si="0"/>
        <v>41</v>
      </c>
      <c r="B41" s="31"/>
      <c r="C41" s="44" t="str">
        <f>+'WMA R1'!C43</f>
        <v>Solar Program Cost Adjustment Factor</v>
      </c>
      <c r="G41" s="92"/>
      <c r="H41" s="53">
        <v>1.0000000000000001E-5</v>
      </c>
      <c r="I41" s="53">
        <f t="shared" si="20"/>
        <v>1.0000000000000001E-5</v>
      </c>
      <c r="J41" s="53">
        <f t="shared" si="21"/>
        <v>1.0000000000000001E-5</v>
      </c>
      <c r="K41" s="37"/>
      <c r="L41" s="53">
        <f t="shared" si="22"/>
        <v>1.0000000000000001E-5</v>
      </c>
      <c r="M41" s="54">
        <f t="shared" si="23"/>
        <v>0</v>
      </c>
      <c r="N41" s="54"/>
      <c r="O41" s="54">
        <f t="shared" si="24"/>
        <v>0</v>
      </c>
      <c r="P41" s="54">
        <f t="shared" si="25"/>
        <v>0</v>
      </c>
      <c r="Q41" s="51" t="str">
        <f>+'EMA R1'!Q43</f>
        <v>SPCA</v>
      </c>
      <c r="R41" s="23"/>
      <c r="S41" s="23"/>
      <c r="T41" s="23"/>
      <c r="U41" s="23"/>
      <c r="V41" s="23"/>
    </row>
    <row r="42" spans="1:22" x14ac:dyDescent="0.3">
      <c r="A42" s="1">
        <f t="shared" si="0"/>
        <v>42</v>
      </c>
      <c r="B42" s="31"/>
      <c r="C42" s="44" t="str">
        <f>+'WMA R1'!C44</f>
        <v>Solar Expansion Cost Recovery Factor</v>
      </c>
      <c r="G42" s="53"/>
      <c r="H42" s="53">
        <v>-3.6999999999999999E-4</v>
      </c>
      <c r="I42" s="53">
        <f t="shared" si="20"/>
        <v>-3.6999999999999999E-4</v>
      </c>
      <c r="J42" s="53">
        <f t="shared" si="21"/>
        <v>-3.6999999999999999E-4</v>
      </c>
      <c r="K42" s="37"/>
      <c r="L42" s="53">
        <f t="shared" si="22"/>
        <v>-3.6999999999999999E-4</v>
      </c>
      <c r="M42" s="54">
        <f t="shared" si="23"/>
        <v>0</v>
      </c>
      <c r="N42" s="54"/>
      <c r="O42" s="54">
        <f t="shared" si="24"/>
        <v>0</v>
      </c>
      <c r="P42" s="54">
        <f t="shared" si="25"/>
        <v>0</v>
      </c>
      <c r="Q42" s="51" t="str">
        <f>+'EMA R1'!Q44</f>
        <v>SECRF</v>
      </c>
      <c r="R42" s="23"/>
      <c r="S42" s="23"/>
      <c r="T42" s="23"/>
      <c r="U42" s="23"/>
      <c r="V42" s="23"/>
    </row>
    <row r="43" spans="1:22" x14ac:dyDescent="0.3">
      <c r="A43" s="1">
        <f t="shared" si="0"/>
        <v>43</v>
      </c>
      <c r="B43" s="31"/>
      <c r="C43" s="44" t="str">
        <f>+'WMA R1'!C45</f>
        <v>Vegetation Management</v>
      </c>
      <c r="G43" s="53"/>
      <c r="H43" s="53">
        <v>1.2999999999999999E-3</v>
      </c>
      <c r="I43" s="53">
        <f t="shared" si="20"/>
        <v>1.2999999999999999E-3</v>
      </c>
      <c r="J43" s="53">
        <f t="shared" si="21"/>
        <v>1.2999999999999999E-3</v>
      </c>
      <c r="K43" s="37"/>
      <c r="L43" s="53">
        <f t="shared" si="22"/>
        <v>1.2999999999999999E-3</v>
      </c>
      <c r="M43" s="54">
        <f t="shared" si="23"/>
        <v>0</v>
      </c>
      <c r="N43" s="54"/>
      <c r="O43" s="54">
        <f t="shared" si="24"/>
        <v>0</v>
      </c>
      <c r="P43" s="54">
        <f t="shared" si="25"/>
        <v>0</v>
      </c>
      <c r="Q43" s="51" t="str">
        <f>+'EMA R1'!Q45</f>
        <v>RTWF</v>
      </c>
      <c r="R43" s="23"/>
      <c r="S43" s="23"/>
      <c r="T43" s="23"/>
      <c r="U43" s="23"/>
      <c r="V43" s="23"/>
    </row>
    <row r="44" spans="1:22" x14ac:dyDescent="0.3">
      <c r="A44" s="1">
        <f t="shared" si="0"/>
        <v>44</v>
      </c>
      <c r="B44" s="31"/>
      <c r="C44" s="44" t="str">
        <f>+'WMA R1'!C46</f>
        <v>Tax Act Credit Factor</v>
      </c>
      <c r="D44" s="37"/>
      <c r="E44" s="37"/>
      <c r="G44" s="92"/>
      <c r="H44" s="53">
        <v>-1.33E-3</v>
      </c>
      <c r="I44" s="53">
        <f t="shared" si="20"/>
        <v>-1.33E-3</v>
      </c>
      <c r="J44" s="53">
        <f t="shared" si="21"/>
        <v>-1.33E-3</v>
      </c>
      <c r="K44" s="37"/>
      <c r="L44" s="53">
        <f t="shared" si="22"/>
        <v>-1.33E-3</v>
      </c>
      <c r="M44" s="54">
        <f t="shared" si="23"/>
        <v>0</v>
      </c>
      <c r="N44" s="54"/>
      <c r="O44" s="54">
        <f t="shared" si="24"/>
        <v>0</v>
      </c>
      <c r="P44" s="54">
        <f t="shared" si="25"/>
        <v>0</v>
      </c>
      <c r="Q44" s="51" t="str">
        <f>+'EMA R1'!Q46</f>
        <v>TACF</v>
      </c>
    </row>
    <row r="45" spans="1:22" x14ac:dyDescent="0.3">
      <c r="A45" s="1">
        <f t="shared" si="0"/>
        <v>45</v>
      </c>
      <c r="B45" s="31"/>
      <c r="C45" s="44" t="str">
        <f>+'WMA R1'!C47</f>
        <v>Grid Modernization</v>
      </c>
      <c r="D45" s="37"/>
      <c r="E45" s="37"/>
      <c r="G45" s="92"/>
      <c r="H45" s="53">
        <v>1.65E-3</v>
      </c>
      <c r="I45" s="53">
        <f t="shared" si="20"/>
        <v>1.65E-3</v>
      </c>
      <c r="J45" s="53">
        <f t="shared" si="21"/>
        <v>1.65E-3</v>
      </c>
      <c r="K45" s="37"/>
      <c r="L45" s="53">
        <f t="shared" si="22"/>
        <v>1.65E-3</v>
      </c>
      <c r="M45" s="54">
        <f t="shared" si="23"/>
        <v>0</v>
      </c>
      <c r="N45" s="54"/>
      <c r="O45" s="54">
        <f t="shared" si="24"/>
        <v>0</v>
      </c>
      <c r="P45" s="54">
        <f t="shared" si="25"/>
        <v>0</v>
      </c>
      <c r="Q45" s="51" t="str">
        <f>+'EMA R1'!Q47</f>
        <v>GMOD</v>
      </c>
    </row>
    <row r="46" spans="1:22" x14ac:dyDescent="0.3">
      <c r="A46" s="1">
        <f t="shared" si="0"/>
        <v>46</v>
      </c>
      <c r="B46" s="31"/>
      <c r="C46" s="44" t="str">
        <f>+'WMA R1'!C48</f>
        <v>Advanced Metering Infrastructure</v>
      </c>
      <c r="D46" s="37"/>
      <c r="E46" s="37"/>
      <c r="G46" s="92"/>
      <c r="H46" s="53">
        <v>2.1900000000000001E-3</v>
      </c>
      <c r="I46" s="53">
        <f t="shared" si="20"/>
        <v>2.1900000000000001E-3</v>
      </c>
      <c r="J46" s="53">
        <f t="shared" si="21"/>
        <v>2.1900000000000001E-3</v>
      </c>
      <c r="K46" s="37"/>
      <c r="L46" s="53">
        <f t="shared" si="22"/>
        <v>2.1900000000000001E-3</v>
      </c>
      <c r="M46" s="54">
        <f t="shared" si="23"/>
        <v>0</v>
      </c>
      <c r="N46" s="54"/>
      <c r="O46" s="54">
        <f t="shared" si="24"/>
        <v>0</v>
      </c>
      <c r="P46" s="54">
        <f t="shared" si="25"/>
        <v>0</v>
      </c>
      <c r="Q46" s="51" t="str">
        <f>+'EMA R1'!Q48</f>
        <v>AMIF</v>
      </c>
    </row>
    <row r="47" spans="1:22" x14ac:dyDescent="0.3">
      <c r="A47" s="1">
        <f t="shared" si="0"/>
        <v>47</v>
      </c>
      <c r="B47" s="31"/>
      <c r="C47" s="44" t="str">
        <f>+'WMA R1'!C49</f>
        <v>Electronic Payment Recovery</v>
      </c>
      <c r="D47" s="37"/>
      <c r="E47" s="37"/>
      <c r="G47" s="92"/>
      <c r="H47" s="53">
        <v>0</v>
      </c>
      <c r="I47" s="53">
        <f t="shared" si="20"/>
        <v>0</v>
      </c>
      <c r="J47" s="53">
        <f t="shared" si="21"/>
        <v>0</v>
      </c>
      <c r="K47" s="37"/>
      <c r="L47" s="53">
        <f t="shared" si="22"/>
        <v>0</v>
      </c>
      <c r="M47" s="54">
        <f t="shared" si="23"/>
        <v>0</v>
      </c>
      <c r="N47" s="54"/>
      <c r="O47" s="54">
        <f t="shared" si="24"/>
        <v>0</v>
      </c>
      <c r="P47" s="54">
        <f t="shared" si="25"/>
        <v>0</v>
      </c>
      <c r="Q47" s="51" t="str">
        <f>+'EMA R1'!Q49</f>
        <v>EPR</v>
      </c>
    </row>
    <row r="48" spans="1:22" x14ac:dyDescent="0.3">
      <c r="A48" s="1">
        <f t="shared" si="0"/>
        <v>48</v>
      </c>
      <c r="B48" s="31"/>
      <c r="C48" s="44" t="str">
        <f>+'WMA R1'!C50</f>
        <v>Provisional System Planning Factor</v>
      </c>
      <c r="D48" s="37"/>
      <c r="E48" s="37"/>
      <c r="G48" s="92"/>
      <c r="H48" s="91">
        <v>0</v>
      </c>
      <c r="I48" s="53">
        <f t="shared" si="20"/>
        <v>0</v>
      </c>
      <c r="J48" s="53">
        <f t="shared" si="21"/>
        <v>0</v>
      </c>
      <c r="K48" s="37"/>
      <c r="L48" s="53">
        <f t="shared" si="22"/>
        <v>0</v>
      </c>
      <c r="M48" s="54">
        <f t="shared" si="23"/>
        <v>0</v>
      </c>
      <c r="N48" s="54"/>
      <c r="O48" s="54">
        <f t="shared" si="24"/>
        <v>0</v>
      </c>
      <c r="P48" s="54">
        <f t="shared" si="25"/>
        <v>0</v>
      </c>
      <c r="Q48" s="51" t="str">
        <f>+'EMA R1'!Q50</f>
        <v>PSPF</v>
      </c>
    </row>
    <row r="49" spans="1:29" x14ac:dyDescent="0.3">
      <c r="A49" s="1">
        <f t="shared" si="0"/>
        <v>49</v>
      </c>
      <c r="B49" s="31"/>
      <c r="C49" s="44" t="str">
        <f>+'WMA R1'!C51</f>
        <v>Electric Vehicle Factor</v>
      </c>
      <c r="D49" s="37"/>
      <c r="E49" s="37"/>
      <c r="G49" s="92"/>
      <c r="H49" s="91">
        <v>1.0300000000000001E-3</v>
      </c>
      <c r="I49" s="53">
        <f t="shared" si="20"/>
        <v>1.0300000000000001E-3</v>
      </c>
      <c r="J49" s="53">
        <f t="shared" si="21"/>
        <v>1.0300000000000001E-3</v>
      </c>
      <c r="K49" s="37"/>
      <c r="L49" s="53">
        <f t="shared" si="22"/>
        <v>1.0300000000000001E-3</v>
      </c>
      <c r="M49" s="54">
        <f t="shared" si="23"/>
        <v>0</v>
      </c>
      <c r="N49" s="54"/>
      <c r="O49" s="54">
        <f t="shared" si="24"/>
        <v>0</v>
      </c>
      <c r="P49" s="54">
        <f t="shared" si="25"/>
        <v>0</v>
      </c>
      <c r="Q49" s="51" t="str">
        <f>+'EMA R1'!Q51</f>
        <v>EVF</v>
      </c>
    </row>
    <row r="50" spans="1:29" x14ac:dyDescent="0.3">
      <c r="A50" s="1">
        <f t="shared" si="0"/>
        <v>50</v>
      </c>
      <c r="B50" s="31"/>
      <c r="C50" s="44" t="str">
        <f>+'WMA R1'!C52</f>
        <v>Transition</v>
      </c>
      <c r="G50" s="92"/>
      <c r="H50" s="91">
        <v>-3.6999999999999999E-4</v>
      </c>
      <c r="I50" s="53">
        <f t="shared" si="20"/>
        <v>-3.6999999999999999E-4</v>
      </c>
      <c r="J50" s="53">
        <f t="shared" si="21"/>
        <v>-3.6999999999999999E-4</v>
      </c>
      <c r="K50" s="37"/>
      <c r="L50" s="53">
        <f t="shared" si="22"/>
        <v>-3.6999999999999999E-4</v>
      </c>
      <c r="M50" s="54">
        <f t="shared" si="23"/>
        <v>0</v>
      </c>
      <c r="N50" s="54"/>
      <c r="O50" s="54">
        <f t="shared" si="24"/>
        <v>0</v>
      </c>
      <c r="P50" s="54">
        <f t="shared" si="25"/>
        <v>0</v>
      </c>
      <c r="Q50" s="51" t="str">
        <f>+'EMA R1'!Q52</f>
        <v>TRNSN</v>
      </c>
      <c r="R50" s="23"/>
      <c r="S50" s="23"/>
      <c r="T50" s="23"/>
      <c r="U50" s="23"/>
      <c r="V50" s="23"/>
    </row>
    <row r="51" spans="1:29" x14ac:dyDescent="0.3">
      <c r="A51" s="1">
        <f t="shared" si="0"/>
        <v>51</v>
      </c>
      <c r="B51" s="31"/>
      <c r="C51" s="44" t="str">
        <f>+'WMA R1'!C53</f>
        <v>Transmission Energy</v>
      </c>
      <c r="G51" s="92"/>
      <c r="H51" s="91">
        <v>3.3640000000000003E-2</v>
      </c>
      <c r="I51" s="53">
        <f t="shared" si="20"/>
        <v>3.3640000000000003E-2</v>
      </c>
      <c r="J51" s="53">
        <f t="shared" si="21"/>
        <v>3.3640000000000003E-2</v>
      </c>
      <c r="K51" s="37"/>
      <c r="L51" s="53">
        <f t="shared" si="22"/>
        <v>3.3640000000000003E-2</v>
      </c>
      <c r="M51" s="54">
        <f t="shared" si="23"/>
        <v>0</v>
      </c>
      <c r="N51" s="54"/>
      <c r="O51" s="54">
        <f t="shared" si="24"/>
        <v>0</v>
      </c>
      <c r="P51" s="54">
        <f t="shared" si="25"/>
        <v>0</v>
      </c>
      <c r="Q51" s="51" t="s">
        <v>104</v>
      </c>
      <c r="R51" s="23"/>
      <c r="S51" s="23"/>
      <c r="T51" s="23"/>
      <c r="U51" s="23"/>
      <c r="V51" s="23"/>
    </row>
    <row r="52" spans="1:29" x14ac:dyDescent="0.3">
      <c r="A52" s="1">
        <f t="shared" si="0"/>
        <v>52</v>
      </c>
      <c r="B52" s="31"/>
      <c r="C52" s="44" t="str">
        <f>+'WMA R1'!C54</f>
        <v>Energy Efficiency Reconciliation Factor</v>
      </c>
      <c r="G52" s="92"/>
      <c r="H52" s="91">
        <v>-8.1300000000000001E-3</v>
      </c>
      <c r="I52" s="53">
        <v>1.038E-2</v>
      </c>
      <c r="J52" s="53">
        <v>1.333E-2</v>
      </c>
      <c r="K52" s="53"/>
      <c r="L52" s="53">
        <v>1.3129999999999999E-2</v>
      </c>
      <c r="M52" s="54">
        <f t="shared" si="23"/>
        <v>1.8509999999999999E-2</v>
      </c>
      <c r="N52" s="54"/>
      <c r="O52" s="54">
        <f t="shared" si="24"/>
        <v>2.9499999999999995E-3</v>
      </c>
      <c r="P52" s="54">
        <f t="shared" si="25"/>
        <v>-2.0000000000000052E-4</v>
      </c>
      <c r="Q52" s="51" t="s">
        <v>106</v>
      </c>
      <c r="R52" s="23"/>
      <c r="S52" s="23"/>
      <c r="T52" s="23"/>
      <c r="U52" s="23"/>
      <c r="V52" s="23"/>
    </row>
    <row r="53" spans="1:29" x14ac:dyDescent="0.3">
      <c r="A53" s="1">
        <f t="shared" si="0"/>
        <v>53</v>
      </c>
      <c r="B53" s="31"/>
      <c r="C53" s="44" t="str">
        <f>+'WMA R1'!C55</f>
        <v>System Benefits Charge</v>
      </c>
      <c r="G53" s="92"/>
      <c r="H53" s="91">
        <v>2.5000000000000001E-3</v>
      </c>
      <c r="I53" s="53">
        <f t="shared" si="20"/>
        <v>2.5000000000000001E-3</v>
      </c>
      <c r="J53" s="53">
        <f t="shared" si="21"/>
        <v>2.5000000000000001E-3</v>
      </c>
      <c r="K53" s="37"/>
      <c r="L53" s="53">
        <f t="shared" si="22"/>
        <v>2.5000000000000001E-3</v>
      </c>
      <c r="M53" s="54">
        <f t="shared" si="23"/>
        <v>0</v>
      </c>
      <c r="N53" s="54"/>
      <c r="O53" s="54">
        <f t="shared" si="24"/>
        <v>0</v>
      </c>
      <c r="P53" s="54">
        <f t="shared" si="25"/>
        <v>0</v>
      </c>
      <c r="Q53" s="51" t="s">
        <v>108</v>
      </c>
      <c r="R53" s="23"/>
      <c r="S53" s="23"/>
      <c r="T53" s="23"/>
      <c r="U53" s="23"/>
      <c r="V53" s="23"/>
    </row>
    <row r="54" spans="1:29" x14ac:dyDescent="0.3">
      <c r="A54" s="1">
        <f t="shared" si="0"/>
        <v>54</v>
      </c>
      <c r="B54" s="31"/>
      <c r="C54" s="44" t="str">
        <f>+'WMA R1'!C56</f>
        <v>Renewable Energy Charge</v>
      </c>
      <c r="G54" s="92"/>
      <c r="H54" s="91">
        <v>5.0000000000000001E-4</v>
      </c>
      <c r="I54" s="53">
        <f t="shared" si="20"/>
        <v>5.0000000000000001E-4</v>
      </c>
      <c r="J54" s="53">
        <f t="shared" si="21"/>
        <v>5.0000000000000001E-4</v>
      </c>
      <c r="K54" s="37"/>
      <c r="L54" s="53">
        <f t="shared" si="22"/>
        <v>5.0000000000000001E-4</v>
      </c>
      <c r="M54" s="54">
        <f t="shared" si="23"/>
        <v>0</v>
      </c>
      <c r="N54" s="54"/>
      <c r="O54" s="54">
        <f t="shared" si="24"/>
        <v>0</v>
      </c>
      <c r="P54" s="54">
        <f t="shared" si="25"/>
        <v>0</v>
      </c>
      <c r="Q54" s="51" t="s">
        <v>110</v>
      </c>
      <c r="R54" s="23"/>
      <c r="S54" s="23"/>
      <c r="T54" s="23"/>
      <c r="U54" s="23"/>
      <c r="V54" s="23"/>
      <c r="W54" s="23"/>
    </row>
    <row r="55" spans="1:29" x14ac:dyDescent="0.3">
      <c r="A55" s="1">
        <f t="shared" si="0"/>
        <v>55</v>
      </c>
      <c r="B55" s="31"/>
      <c r="C55" s="44" t="str">
        <f>+'WMA R1'!C57</f>
        <v>Basic Service Charge</v>
      </c>
      <c r="G55" s="92"/>
      <c r="H55" s="53">
        <v>0.15676999999999999</v>
      </c>
      <c r="I55" s="53">
        <f t="shared" si="20"/>
        <v>0.15676999999999999</v>
      </c>
      <c r="J55" s="53">
        <f t="shared" si="21"/>
        <v>0.15676999999999999</v>
      </c>
      <c r="K55" s="37"/>
      <c r="L55" s="53">
        <f t="shared" si="22"/>
        <v>0.15676999999999999</v>
      </c>
      <c r="M55" s="54">
        <f t="shared" si="23"/>
        <v>0</v>
      </c>
      <c r="N55" s="54"/>
      <c r="O55" s="54">
        <f t="shared" si="24"/>
        <v>0</v>
      </c>
      <c r="P55" s="54">
        <f t="shared" si="25"/>
        <v>0</v>
      </c>
      <c r="Q55" s="51" t="s">
        <v>112</v>
      </c>
      <c r="R55" s="23"/>
      <c r="S55" s="23"/>
      <c r="T55" s="23"/>
      <c r="U55" s="23"/>
      <c r="V55" s="23"/>
      <c r="W55" s="23"/>
    </row>
    <row r="56" spans="1:29" x14ac:dyDescent="0.3">
      <c r="A56" s="1"/>
      <c r="B56" s="104"/>
      <c r="C56" s="44"/>
      <c r="D56" s="143"/>
      <c r="G56" s="92"/>
      <c r="H56" s="92"/>
      <c r="I56" s="92"/>
      <c r="J56" s="94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AC56" s="23"/>
    </row>
    <row r="57" spans="1:29" x14ac:dyDescent="0.3">
      <c r="A57" s="1"/>
      <c r="B57" s="104"/>
      <c r="C57" s="44" t="s">
        <v>58</v>
      </c>
      <c r="G57" s="142"/>
      <c r="H57" s="88">
        <f>+H28</f>
        <v>15</v>
      </c>
      <c r="I57" s="88">
        <f>+I28</f>
        <v>15</v>
      </c>
      <c r="J57" s="88">
        <f>+J28</f>
        <v>15</v>
      </c>
      <c r="L57" s="88">
        <f>+L28</f>
        <v>15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AC57" s="23"/>
    </row>
    <row r="58" spans="1:29" x14ac:dyDescent="0.3">
      <c r="A58" s="1"/>
      <c r="C58" s="44" t="s">
        <v>122</v>
      </c>
      <c r="G58" s="92"/>
      <c r="H58" s="92">
        <f>SUM(H29:H54)</f>
        <v>0.11317000000000002</v>
      </c>
      <c r="I58" s="92">
        <f>SUM(I29:I54)</f>
        <v>0.13168000000000002</v>
      </c>
      <c r="J58" s="92">
        <f>SUM(J29:J54)</f>
        <v>0.13463000000000003</v>
      </c>
      <c r="L58" s="92">
        <f>SUM(L29:L54)</f>
        <v>0.13443000000000002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AC58" s="23"/>
    </row>
    <row r="59" spans="1:29" x14ac:dyDescent="0.3">
      <c r="A59" s="1"/>
      <c r="C59" s="44" t="s">
        <v>123</v>
      </c>
      <c r="G59" s="92"/>
      <c r="H59" s="92">
        <f>+H55</f>
        <v>0.15676999999999999</v>
      </c>
      <c r="I59" s="92">
        <f>+I55</f>
        <v>0.15676999999999999</v>
      </c>
      <c r="J59" s="92">
        <f>+J55</f>
        <v>0.15676999999999999</v>
      </c>
      <c r="L59" s="92">
        <f>+L55</f>
        <v>0.15676999999999999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</row>
    <row r="60" spans="1:29" x14ac:dyDescent="0.3">
      <c r="A60" s="31" t="str">
        <f>IF(C60&lt;&gt;"",COUNTA($C$11:C60),"")</f>
        <v/>
      </c>
      <c r="C60" s="44"/>
    </row>
    <row r="90" spans="2:22" x14ac:dyDescent="0.3">
      <c r="B90" s="144"/>
    </row>
    <row r="91" spans="2:22" x14ac:dyDescent="0.3">
      <c r="B91" s="144"/>
      <c r="C91" s="145"/>
      <c r="D91" s="146"/>
      <c r="E91" s="146"/>
      <c r="F91" s="146"/>
      <c r="G91" s="147"/>
      <c r="H91" s="146"/>
      <c r="I91" s="146"/>
      <c r="J91" s="146"/>
      <c r="K91" s="147"/>
      <c r="L91" s="146"/>
      <c r="M91" s="148"/>
      <c r="N91" s="148"/>
      <c r="O91" s="148"/>
      <c r="P91" s="148"/>
      <c r="Q91" s="148"/>
      <c r="R91" s="148"/>
      <c r="S91" s="148"/>
      <c r="T91" s="148"/>
      <c r="U91" s="148"/>
      <c r="V91" s="148"/>
    </row>
    <row r="92" spans="2:22" x14ac:dyDescent="0.3">
      <c r="B92" s="144"/>
      <c r="C92" s="145"/>
      <c r="D92" s="146"/>
      <c r="E92" s="146"/>
      <c r="F92" s="146"/>
      <c r="G92" s="147"/>
      <c r="H92" s="146"/>
      <c r="I92" s="146"/>
      <c r="J92" s="146"/>
      <c r="K92" s="147"/>
      <c r="L92" s="146"/>
      <c r="M92" s="148"/>
      <c r="N92" s="148"/>
      <c r="O92" s="148"/>
      <c r="P92" s="148"/>
      <c r="Q92" s="148"/>
      <c r="R92" s="148"/>
      <c r="S92" s="148"/>
      <c r="T92" s="148"/>
      <c r="U92" s="148"/>
      <c r="V92" s="148"/>
    </row>
    <row r="93" spans="2:22" x14ac:dyDescent="0.3">
      <c r="B93" s="144"/>
      <c r="C93" s="145"/>
      <c r="D93" s="146"/>
      <c r="E93" s="146"/>
      <c r="F93" s="146"/>
      <c r="G93" s="147"/>
      <c r="H93" s="146"/>
      <c r="I93" s="146"/>
      <c r="J93" s="146"/>
      <c r="K93" s="147"/>
      <c r="L93" s="146"/>
      <c r="M93" s="148"/>
      <c r="N93" s="148"/>
      <c r="O93" s="148"/>
      <c r="P93" s="148"/>
      <c r="Q93" s="148"/>
      <c r="R93" s="148"/>
      <c r="S93" s="148"/>
      <c r="T93" s="148"/>
      <c r="U93" s="148"/>
      <c r="V93" s="148"/>
    </row>
    <row r="94" spans="2:22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</row>
    <row r="95" spans="2:22" x14ac:dyDescent="0.3">
      <c r="B95" s="144"/>
      <c r="C95" s="145"/>
      <c r="D95" s="146"/>
      <c r="E95" s="146"/>
      <c r="F95" s="146"/>
      <c r="G95" s="147"/>
      <c r="H95" s="146"/>
      <c r="I95" s="146"/>
      <c r="J95" s="146"/>
      <c r="K95" s="147"/>
      <c r="L95" s="146"/>
      <c r="M95" s="148"/>
      <c r="N95" s="148"/>
      <c r="O95" s="148"/>
      <c r="P95" s="148"/>
      <c r="Q95" s="148"/>
      <c r="R95" s="148"/>
      <c r="S95" s="148"/>
      <c r="T95" s="148"/>
      <c r="U95" s="148"/>
      <c r="V95" s="148"/>
    </row>
    <row r="96" spans="2:22" x14ac:dyDescent="0.3">
      <c r="B96" s="144"/>
      <c r="C96" s="145"/>
      <c r="D96" s="146"/>
      <c r="E96" s="146"/>
      <c r="F96" s="146"/>
      <c r="G96" s="147"/>
      <c r="H96" s="146"/>
      <c r="I96" s="146"/>
      <c r="J96" s="146"/>
      <c r="K96" s="147"/>
      <c r="L96" s="146"/>
      <c r="M96" s="148"/>
      <c r="N96" s="148"/>
      <c r="O96" s="148"/>
      <c r="P96" s="148"/>
      <c r="Q96" s="148"/>
      <c r="R96" s="148"/>
      <c r="S96" s="148"/>
      <c r="T96" s="148"/>
      <c r="U96" s="148"/>
      <c r="V96" s="148"/>
    </row>
    <row r="97" spans="2:22" x14ac:dyDescent="0.3">
      <c r="B97" s="144"/>
      <c r="C97" s="145"/>
      <c r="D97" s="146"/>
      <c r="E97" s="146"/>
      <c r="F97" s="146"/>
      <c r="G97" s="147"/>
      <c r="H97" s="146"/>
      <c r="I97" s="146"/>
      <c r="J97" s="146"/>
      <c r="K97" s="147"/>
      <c r="L97" s="146"/>
      <c r="M97" s="148"/>
      <c r="N97" s="148"/>
      <c r="O97" s="148"/>
      <c r="P97" s="148"/>
      <c r="Q97" s="148"/>
      <c r="R97" s="148"/>
      <c r="S97" s="148"/>
      <c r="T97" s="148"/>
      <c r="U97" s="148"/>
      <c r="V97" s="148"/>
    </row>
  </sheetData>
  <mergeCells count="7">
    <mergeCell ref="Z11:AA11"/>
    <mergeCell ref="D11:F11"/>
    <mergeCell ref="H11:J11"/>
    <mergeCell ref="L11:M11"/>
    <mergeCell ref="O11:Q11"/>
    <mergeCell ref="S11:T11"/>
    <mergeCell ref="V11:X11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3E736-9477-4C5A-96FC-7A6352DF49E9}">
  <sheetPr>
    <tabColor theme="3" tint="0.59999389629810485"/>
    <pageSetUpPr fitToPage="1"/>
  </sheetPr>
  <dimension ref="A1:AA120"/>
  <sheetViews>
    <sheetView zoomScaleNormal="100" workbookViewId="0"/>
  </sheetViews>
  <sheetFormatPr defaultColWidth="8.7265625" defaultRowHeight="14" x14ac:dyDescent="0.3"/>
  <cols>
    <col min="1" max="1" width="4.1796875" style="2" customWidth="1"/>
    <col min="2" max="2" width="4.453125" style="2" bestFit="1" customWidth="1"/>
    <col min="3" max="3" width="12.54296875" style="2" customWidth="1"/>
    <col min="4" max="6" width="12" style="2" customWidth="1"/>
    <col min="7" max="7" width="2" style="2" customWidth="1"/>
    <col min="8" max="10" width="12" style="2" customWidth="1"/>
    <col min="11" max="11" width="2" style="2" customWidth="1"/>
    <col min="12" max="13" width="11.7265625" style="2" customWidth="1"/>
    <col min="14" max="14" width="2" style="2" customWidth="1"/>
    <col min="15" max="17" width="12" style="2" customWidth="1"/>
    <col min="18" max="18" width="2" style="2" customWidth="1"/>
    <col min="19" max="20" width="11.7265625" style="2" customWidth="1"/>
    <col min="21" max="21" width="2" style="2" customWidth="1"/>
    <col min="22" max="24" width="12" style="2" customWidth="1"/>
    <col min="25" max="25" width="2" style="2" customWidth="1"/>
    <col min="26" max="27" width="11.7265625" style="2" customWidth="1"/>
    <col min="28" max="16384" width="8.7265625" style="2"/>
  </cols>
  <sheetData>
    <row r="1" spans="1:27" x14ac:dyDescent="0.3">
      <c r="A1" s="1">
        <v>1</v>
      </c>
    </row>
    <row r="2" spans="1:27" x14ac:dyDescent="0.3">
      <c r="A2" s="1">
        <f>A1+1</f>
        <v>2</v>
      </c>
    </row>
    <row r="3" spans="1:27" x14ac:dyDescent="0.3">
      <c r="A3" s="1">
        <f t="shared" ref="A3:A55" si="0">A2+1</f>
        <v>3</v>
      </c>
      <c r="B3" s="24" t="s">
        <v>40</v>
      </c>
    </row>
    <row r="4" spans="1:27" x14ac:dyDescent="0.3">
      <c r="A4" s="1">
        <f t="shared" si="0"/>
        <v>4</v>
      </c>
      <c r="B4" s="24" t="s">
        <v>41</v>
      </c>
      <c r="C4" s="44"/>
      <c r="D4" s="149"/>
      <c r="E4" s="22"/>
      <c r="F4" s="150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7" x14ac:dyDescent="0.3">
      <c r="A5" s="1">
        <f t="shared" si="0"/>
        <v>5</v>
      </c>
      <c r="B5" s="24"/>
      <c r="C5" s="44"/>
      <c r="D5" s="149"/>
      <c r="E5" s="22"/>
      <c r="F5" s="150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7" x14ac:dyDescent="0.3">
      <c r="A6" s="1">
        <f t="shared" si="0"/>
        <v>6</v>
      </c>
      <c r="B6" s="24" t="s">
        <v>135</v>
      </c>
      <c r="C6" s="44"/>
      <c r="D6" s="149"/>
      <c r="E6" s="22"/>
      <c r="F6" s="150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7" x14ac:dyDescent="0.3">
      <c r="A7" s="1">
        <f t="shared" si="0"/>
        <v>7</v>
      </c>
      <c r="B7" s="24" t="s">
        <v>136</v>
      </c>
      <c r="C7" s="44"/>
      <c r="D7" s="149"/>
      <c r="E7" s="22"/>
      <c r="F7" s="150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7" x14ac:dyDescent="0.3">
      <c r="A8" s="1">
        <f t="shared" si="0"/>
        <v>8</v>
      </c>
      <c r="B8" s="151"/>
      <c r="C8" s="44"/>
      <c r="D8" s="149"/>
      <c r="E8" s="22"/>
      <c r="F8" s="150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7" x14ac:dyDescent="0.3">
      <c r="A9" s="1">
        <f t="shared" si="0"/>
        <v>9</v>
      </c>
      <c r="B9" s="104"/>
      <c r="C9" s="44"/>
      <c r="D9" s="44"/>
      <c r="E9" s="44"/>
      <c r="F9" s="131"/>
      <c r="G9" s="44"/>
    </row>
    <row r="10" spans="1:27" x14ac:dyDescent="0.3">
      <c r="A10" s="1">
        <f t="shared" si="0"/>
        <v>10</v>
      </c>
      <c r="B10" s="104"/>
      <c r="C10" s="44"/>
      <c r="D10" s="44"/>
      <c r="E10" s="44"/>
      <c r="F10" s="132"/>
      <c r="G10" s="44"/>
    </row>
    <row r="11" spans="1:27" x14ac:dyDescent="0.3">
      <c r="A11" s="1">
        <f t="shared" si="0"/>
        <v>11</v>
      </c>
      <c r="B11" s="31"/>
      <c r="C11" s="104" t="s">
        <v>2</v>
      </c>
      <c r="D11" s="32" t="str">
        <f>'EMA R1'!D10</f>
        <v>2024 Monthly Bill</v>
      </c>
      <c r="E11" s="32"/>
      <c r="F11" s="32"/>
      <c r="G11" s="33"/>
      <c r="H11" s="32" t="str">
        <f>'EMA R1'!H10</f>
        <v>2025 Illustrative Monthly Bill</v>
      </c>
      <c r="I11" s="32"/>
      <c r="J11" s="32"/>
      <c r="K11" s="23"/>
      <c r="L11" s="32" t="str">
        <f>'EMA R1'!L10</f>
        <v>2025 vs. 2024</v>
      </c>
      <c r="M11" s="32"/>
      <c r="N11" s="27"/>
      <c r="O11" s="32" t="str">
        <f>'EMA R1'!O10</f>
        <v>2026 Illustrative Monthly Bill</v>
      </c>
      <c r="P11" s="32"/>
      <c r="Q11" s="32"/>
      <c r="R11" s="33"/>
      <c r="S11" s="32" t="str">
        <f>'EMA R1'!S10</f>
        <v>2026 vs. 2025</v>
      </c>
      <c r="T11" s="32"/>
      <c r="U11" s="23"/>
      <c r="V11" s="32" t="str">
        <f>'EMA R1'!V10</f>
        <v>2027 Illustrative Monthly Bill</v>
      </c>
      <c r="W11" s="32"/>
      <c r="X11" s="32"/>
      <c r="Y11" s="33"/>
      <c r="Z11" s="32" t="str">
        <f>'EMA R1'!Z10</f>
        <v>2027 vs. 2026</v>
      </c>
      <c r="AA11" s="32"/>
    </row>
    <row r="12" spans="1:27" x14ac:dyDescent="0.3">
      <c r="A12" s="1">
        <f t="shared" si="0"/>
        <v>12</v>
      </c>
      <c r="B12" s="31"/>
      <c r="C12" s="134" t="s">
        <v>47</v>
      </c>
      <c r="D12" s="34" t="s">
        <v>48</v>
      </c>
      <c r="E12" s="34" t="s">
        <v>49</v>
      </c>
      <c r="F12" s="34" t="s">
        <v>50</v>
      </c>
      <c r="G12" s="34"/>
      <c r="H12" s="34" t="s">
        <v>48</v>
      </c>
      <c r="I12" s="34" t="s">
        <v>49</v>
      </c>
      <c r="J12" s="34" t="s">
        <v>50</v>
      </c>
      <c r="K12" s="23"/>
      <c r="L12" s="34" t="s">
        <v>51</v>
      </c>
      <c r="M12" s="34" t="s">
        <v>14</v>
      </c>
      <c r="N12" s="34"/>
      <c r="O12" s="34" t="s">
        <v>48</v>
      </c>
      <c r="P12" s="34" t="s">
        <v>49</v>
      </c>
      <c r="Q12" s="34" t="s">
        <v>50</v>
      </c>
      <c r="R12" s="34"/>
      <c r="S12" s="34" t="s">
        <v>51</v>
      </c>
      <c r="T12" s="34" t="s">
        <v>14</v>
      </c>
      <c r="U12" s="23"/>
      <c r="V12" s="34" t="s">
        <v>48</v>
      </c>
      <c r="W12" s="34" t="s">
        <v>49</v>
      </c>
      <c r="X12" s="34" t="s">
        <v>50</v>
      </c>
      <c r="Y12" s="34"/>
      <c r="Z12" s="34" t="s">
        <v>51</v>
      </c>
      <c r="AA12" s="34" t="s">
        <v>14</v>
      </c>
    </row>
    <row r="13" spans="1:27" x14ac:dyDescent="0.3">
      <c r="A13" s="1">
        <f t="shared" si="0"/>
        <v>13</v>
      </c>
      <c r="B13" s="31"/>
      <c r="C13" s="105">
        <v>10</v>
      </c>
      <c r="D13" s="135">
        <f t="shared" ref="D13:D23" si="1">ROUND(H$58*$C13+H$57,2)</f>
        <v>15.99</v>
      </c>
      <c r="E13" s="36">
        <f t="shared" ref="E13:E22" si="2">ROUND($H$59*C13,2)</f>
        <v>1.57</v>
      </c>
      <c r="F13" s="36">
        <f>SUM(D13:E13)</f>
        <v>17.559999999999999</v>
      </c>
      <c r="G13" s="36"/>
      <c r="H13" s="135">
        <f t="shared" ref="H13:H23" si="3">ROUND(I$58*$C13+I$57,2)</f>
        <v>16.18</v>
      </c>
      <c r="I13" s="36">
        <f>ROUND($I$59*C13,2)</f>
        <v>1.57</v>
      </c>
      <c r="J13" s="36">
        <f>SUM(H13:I13)</f>
        <v>17.75</v>
      </c>
      <c r="K13" s="37"/>
      <c r="L13" s="36">
        <f>+J13-F13</f>
        <v>0.19000000000000128</v>
      </c>
      <c r="M13" s="39">
        <f>+L13/F13</f>
        <v>1.0820045558086635E-2</v>
      </c>
      <c r="N13" s="39"/>
      <c r="O13" s="135">
        <f>ROUND(J$58*$C13+J$57,2)</f>
        <v>16.21</v>
      </c>
      <c r="P13" s="36">
        <f>ROUND($J$59*C13,2)</f>
        <v>1.57</v>
      </c>
      <c r="Q13" s="36">
        <f>SUM(O13:P13)</f>
        <v>17.78</v>
      </c>
      <c r="R13" s="36"/>
      <c r="S13" s="36">
        <f>+Q13-J13</f>
        <v>3.0000000000001137E-2</v>
      </c>
      <c r="T13" s="39">
        <f>+S13/J13</f>
        <v>1.6901408450704866E-3</v>
      </c>
      <c r="U13" s="23"/>
      <c r="V13" s="135">
        <f>ROUND(L$58*$C13+L$57,2)</f>
        <v>16.2</v>
      </c>
      <c r="W13" s="36">
        <f t="shared" ref="W13:W23" si="4">ROUND($L$59*C13,2)</f>
        <v>1.57</v>
      </c>
      <c r="X13" s="36">
        <f>SUM(V13:W13)</f>
        <v>17.77</v>
      </c>
      <c r="Y13" s="36"/>
      <c r="Z13" s="36">
        <f>X13-Q13</f>
        <v>-1.0000000000001563E-2</v>
      </c>
      <c r="AA13" s="39">
        <f>+Z13/Q13</f>
        <v>-5.6242969628805188E-4</v>
      </c>
    </row>
    <row r="14" spans="1:27" x14ac:dyDescent="0.3">
      <c r="A14" s="1">
        <f t="shared" si="0"/>
        <v>14</v>
      </c>
      <c r="B14" s="31"/>
      <c r="C14" s="105">
        <v>50</v>
      </c>
      <c r="D14" s="135">
        <f t="shared" si="1"/>
        <v>19.96</v>
      </c>
      <c r="E14" s="36">
        <f t="shared" si="2"/>
        <v>7.84</v>
      </c>
      <c r="F14" s="36">
        <f t="shared" ref="F14:F23" si="5">SUM(D14:E14)</f>
        <v>27.8</v>
      </c>
      <c r="G14" s="36"/>
      <c r="H14" s="135">
        <f t="shared" si="3"/>
        <v>20.88</v>
      </c>
      <c r="I14" s="36">
        <f t="shared" ref="I14:I22" si="6">ROUND($I$59*C14,2)</f>
        <v>7.84</v>
      </c>
      <c r="J14" s="36">
        <f t="shared" ref="J14:J23" si="7">SUM(H14:I14)</f>
        <v>28.72</v>
      </c>
      <c r="K14" s="37"/>
      <c r="L14" s="36">
        <f t="shared" ref="L14:L23" si="8">+J14-F14</f>
        <v>0.91999999999999815</v>
      </c>
      <c r="M14" s="39">
        <f t="shared" ref="M14:M23" si="9">+L14/F14</f>
        <v>3.3093525179856045E-2</v>
      </c>
      <c r="N14" s="39"/>
      <c r="O14" s="135">
        <f t="shared" ref="O14:O23" si="10">ROUND(J$58*$C14+J$57,2)</f>
        <v>21.03</v>
      </c>
      <c r="P14" s="36">
        <f t="shared" ref="P14:P23" si="11">ROUND($J$59*C14,2)</f>
        <v>7.84</v>
      </c>
      <c r="Q14" s="36">
        <f t="shared" ref="Q14:Q23" si="12">SUM(O14:P14)</f>
        <v>28.87</v>
      </c>
      <c r="R14" s="36"/>
      <c r="S14" s="36">
        <f t="shared" ref="S14:S23" si="13">+Q14-J14</f>
        <v>0.15000000000000213</v>
      </c>
      <c r="T14" s="39">
        <f t="shared" ref="T14:T23" si="14">+S14/J14</f>
        <v>5.2228412256268156E-3</v>
      </c>
      <c r="U14" s="23"/>
      <c r="V14" s="135">
        <f t="shared" ref="V14:V23" si="15">ROUND(L$58*$C14+L$57,2)</f>
        <v>21.02</v>
      </c>
      <c r="W14" s="36">
        <f>ROUND($L$59*C14,2)</f>
        <v>7.84</v>
      </c>
      <c r="X14" s="36">
        <f t="shared" ref="X14:X23" si="16">SUM(V14:W14)</f>
        <v>28.86</v>
      </c>
      <c r="Y14" s="36"/>
      <c r="Z14" s="36">
        <f t="shared" ref="Z14:Z23" si="17">X14-Q14</f>
        <v>-1.0000000000001563E-2</v>
      </c>
      <c r="AA14" s="39">
        <f t="shared" ref="AA14:AA23" si="18">+Z14/Q14</f>
        <v>-3.4638032559756017E-4</v>
      </c>
    </row>
    <row r="15" spans="1:27" x14ac:dyDescent="0.3">
      <c r="A15" s="1">
        <f t="shared" si="0"/>
        <v>15</v>
      </c>
      <c r="B15" s="31"/>
      <c r="C15" s="105">
        <v>100</v>
      </c>
      <c r="D15" s="135">
        <f>ROUND(H$58*$C15+H$57,2)</f>
        <v>24.92</v>
      </c>
      <c r="E15" s="36">
        <f t="shared" si="2"/>
        <v>15.68</v>
      </c>
      <c r="F15" s="36">
        <f t="shared" si="5"/>
        <v>40.6</v>
      </c>
      <c r="G15" s="36"/>
      <c r="H15" s="135">
        <f>ROUND(I$58*$C15+I$57,2)</f>
        <v>26.77</v>
      </c>
      <c r="I15" s="36">
        <f t="shared" si="6"/>
        <v>15.68</v>
      </c>
      <c r="J15" s="36">
        <f t="shared" si="7"/>
        <v>42.45</v>
      </c>
      <c r="K15" s="37"/>
      <c r="L15" s="36">
        <f>+J15-F15</f>
        <v>1.8500000000000014</v>
      </c>
      <c r="M15" s="39">
        <f t="shared" si="9"/>
        <v>4.5566502463054222E-2</v>
      </c>
      <c r="N15" s="39"/>
      <c r="O15" s="135">
        <f>ROUND(J$58*$C15+J$57,2)</f>
        <v>27.06</v>
      </c>
      <c r="P15" s="36">
        <f t="shared" si="11"/>
        <v>15.68</v>
      </c>
      <c r="Q15" s="36">
        <f t="shared" si="12"/>
        <v>42.739999999999995</v>
      </c>
      <c r="R15" s="36"/>
      <c r="S15" s="36">
        <f t="shared" si="13"/>
        <v>0.28999999999999204</v>
      </c>
      <c r="T15" s="39">
        <f t="shared" si="14"/>
        <v>6.8315665488808486E-3</v>
      </c>
      <c r="U15" s="23"/>
      <c r="V15" s="135">
        <f>ROUND(L$58*$C15+L$57,2)</f>
        <v>27.04</v>
      </c>
      <c r="W15" s="36">
        <f t="shared" si="4"/>
        <v>15.68</v>
      </c>
      <c r="X15" s="36">
        <f t="shared" si="16"/>
        <v>42.72</v>
      </c>
      <c r="Y15" s="36"/>
      <c r="Z15" s="36">
        <f t="shared" si="17"/>
        <v>-1.9999999999996021E-2</v>
      </c>
      <c r="AA15" s="39">
        <f t="shared" si="18"/>
        <v>-4.6794571829658453E-4</v>
      </c>
    </row>
    <row r="16" spans="1:27" x14ac:dyDescent="0.3">
      <c r="A16" s="1">
        <f t="shared" si="0"/>
        <v>16</v>
      </c>
      <c r="B16" s="31"/>
      <c r="C16" s="105">
        <v>200</v>
      </c>
      <c r="D16" s="135">
        <f t="shared" si="1"/>
        <v>34.83</v>
      </c>
      <c r="E16" s="36">
        <f t="shared" si="2"/>
        <v>31.35</v>
      </c>
      <c r="F16" s="36">
        <f t="shared" si="5"/>
        <v>66.180000000000007</v>
      </c>
      <c r="G16" s="36"/>
      <c r="H16" s="135">
        <f t="shared" si="3"/>
        <v>38.53</v>
      </c>
      <c r="I16" s="36">
        <f t="shared" si="6"/>
        <v>31.35</v>
      </c>
      <c r="J16" s="36">
        <f t="shared" si="7"/>
        <v>69.88</v>
      </c>
      <c r="K16" s="37"/>
      <c r="L16" s="36">
        <f t="shared" si="8"/>
        <v>3.6999999999999886</v>
      </c>
      <c r="M16" s="39">
        <f t="shared" si="9"/>
        <v>5.5908129344212576E-2</v>
      </c>
      <c r="N16" s="39"/>
      <c r="O16" s="135">
        <f t="shared" si="10"/>
        <v>39.119999999999997</v>
      </c>
      <c r="P16" s="36">
        <f t="shared" si="11"/>
        <v>31.35</v>
      </c>
      <c r="Q16" s="36">
        <f t="shared" si="12"/>
        <v>70.47</v>
      </c>
      <c r="R16" s="36"/>
      <c r="S16" s="36">
        <f t="shared" si="13"/>
        <v>0.59000000000000341</v>
      </c>
      <c r="T16" s="39">
        <f t="shared" si="14"/>
        <v>8.4430452203778407E-3</v>
      </c>
      <c r="U16" s="23"/>
      <c r="V16" s="135">
        <f t="shared" si="15"/>
        <v>39.08</v>
      </c>
      <c r="W16" s="36">
        <f t="shared" si="4"/>
        <v>31.35</v>
      </c>
      <c r="X16" s="36">
        <f t="shared" si="16"/>
        <v>70.430000000000007</v>
      </c>
      <c r="Y16" s="36"/>
      <c r="Z16" s="36">
        <f t="shared" si="17"/>
        <v>-3.9999999999992042E-2</v>
      </c>
      <c r="AA16" s="39">
        <f t="shared" si="18"/>
        <v>-5.6761742585486078E-4</v>
      </c>
    </row>
    <row r="17" spans="1:27" x14ac:dyDescent="0.3">
      <c r="A17" s="1">
        <f t="shared" si="0"/>
        <v>17</v>
      </c>
      <c r="B17" s="31"/>
      <c r="C17" s="105">
        <v>300</v>
      </c>
      <c r="D17" s="135">
        <f t="shared" si="1"/>
        <v>44.75</v>
      </c>
      <c r="E17" s="36">
        <f t="shared" si="2"/>
        <v>47.03</v>
      </c>
      <c r="F17" s="36">
        <f t="shared" si="5"/>
        <v>91.78</v>
      </c>
      <c r="G17" s="36"/>
      <c r="H17" s="135">
        <f t="shared" si="3"/>
        <v>50.3</v>
      </c>
      <c r="I17" s="36">
        <f t="shared" si="6"/>
        <v>47.03</v>
      </c>
      <c r="J17" s="36">
        <f t="shared" si="7"/>
        <v>97.33</v>
      </c>
      <c r="K17" s="37"/>
      <c r="L17" s="36">
        <f t="shared" si="8"/>
        <v>5.5499999999999972</v>
      </c>
      <c r="M17" s="39">
        <f t="shared" si="9"/>
        <v>6.0470690782305485E-2</v>
      </c>
      <c r="N17" s="39"/>
      <c r="O17" s="135">
        <f t="shared" si="10"/>
        <v>51.18</v>
      </c>
      <c r="P17" s="36">
        <f t="shared" si="11"/>
        <v>47.03</v>
      </c>
      <c r="Q17" s="36">
        <f t="shared" si="12"/>
        <v>98.210000000000008</v>
      </c>
      <c r="R17" s="36"/>
      <c r="S17" s="36">
        <f t="shared" si="13"/>
        <v>0.88000000000000966</v>
      </c>
      <c r="T17" s="39">
        <f t="shared" si="14"/>
        <v>9.0414055275866607E-3</v>
      </c>
      <c r="U17" s="23"/>
      <c r="V17" s="135">
        <f t="shared" si="15"/>
        <v>51.12</v>
      </c>
      <c r="W17" s="36">
        <f t="shared" si="4"/>
        <v>47.03</v>
      </c>
      <c r="X17" s="36">
        <f t="shared" si="16"/>
        <v>98.15</v>
      </c>
      <c r="Y17" s="36"/>
      <c r="Z17" s="36">
        <f t="shared" si="17"/>
        <v>-6.0000000000002274E-2</v>
      </c>
      <c r="AA17" s="39">
        <f t="shared" si="18"/>
        <v>-6.1093574992365611E-4</v>
      </c>
    </row>
    <row r="18" spans="1:27" x14ac:dyDescent="0.3">
      <c r="A18" s="1">
        <f t="shared" si="0"/>
        <v>18</v>
      </c>
      <c r="B18" s="31"/>
      <c r="C18" s="105">
        <v>600</v>
      </c>
      <c r="D18" s="135">
        <f t="shared" si="1"/>
        <v>74.489999999999995</v>
      </c>
      <c r="E18" s="36">
        <f>ROUND($H$59*C18,2)</f>
        <v>94.06</v>
      </c>
      <c r="F18" s="36">
        <f t="shared" si="5"/>
        <v>168.55</v>
      </c>
      <c r="G18" s="36"/>
      <c r="H18" s="135">
        <f t="shared" si="3"/>
        <v>85.6</v>
      </c>
      <c r="I18" s="36">
        <f>ROUND($I$59*C18,2)</f>
        <v>94.06</v>
      </c>
      <c r="J18" s="36">
        <f t="shared" si="7"/>
        <v>179.66</v>
      </c>
      <c r="K18" s="37"/>
      <c r="L18" s="36">
        <f t="shared" si="8"/>
        <v>11.109999999999985</v>
      </c>
      <c r="M18" s="39">
        <f t="shared" si="9"/>
        <v>6.5915158706615157E-2</v>
      </c>
      <c r="N18" s="39"/>
      <c r="O18" s="135">
        <f t="shared" si="10"/>
        <v>87.37</v>
      </c>
      <c r="P18" s="36">
        <f>ROUND($J$59*C18,2)</f>
        <v>94.06</v>
      </c>
      <c r="Q18" s="36">
        <f t="shared" si="12"/>
        <v>181.43</v>
      </c>
      <c r="R18" s="36"/>
      <c r="S18" s="36">
        <f t="shared" si="13"/>
        <v>1.7700000000000102</v>
      </c>
      <c r="T18" s="39">
        <f t="shared" si="14"/>
        <v>9.8519425581654815E-3</v>
      </c>
      <c r="U18" s="23"/>
      <c r="V18" s="135">
        <f t="shared" si="15"/>
        <v>87.25</v>
      </c>
      <c r="W18" s="36">
        <f>ROUND($L$59*C18,2)</f>
        <v>94.06</v>
      </c>
      <c r="X18" s="36">
        <f t="shared" si="16"/>
        <v>181.31</v>
      </c>
      <c r="Y18" s="36"/>
      <c r="Z18" s="36">
        <f t="shared" si="17"/>
        <v>-0.12000000000000455</v>
      </c>
      <c r="AA18" s="39">
        <f t="shared" si="18"/>
        <v>-6.6141211486526227E-4</v>
      </c>
    </row>
    <row r="19" spans="1:27" x14ac:dyDescent="0.3">
      <c r="A19" s="1">
        <f t="shared" si="0"/>
        <v>19</v>
      </c>
      <c r="B19" s="31"/>
      <c r="C19" s="105">
        <v>1000</v>
      </c>
      <c r="D19" s="135">
        <f t="shared" si="1"/>
        <v>114.15</v>
      </c>
      <c r="E19" s="36">
        <f t="shared" si="2"/>
        <v>156.77000000000001</v>
      </c>
      <c r="F19" s="36">
        <f t="shared" si="5"/>
        <v>270.92</v>
      </c>
      <c r="G19" s="36"/>
      <c r="H19" s="135">
        <f t="shared" si="3"/>
        <v>132.66</v>
      </c>
      <c r="I19" s="36">
        <f t="shared" si="6"/>
        <v>156.77000000000001</v>
      </c>
      <c r="J19" s="36">
        <f t="shared" si="7"/>
        <v>289.43</v>
      </c>
      <c r="K19" s="37"/>
      <c r="L19" s="36">
        <f t="shared" si="8"/>
        <v>18.509999999999991</v>
      </c>
      <c r="M19" s="39">
        <f t="shared" si="9"/>
        <v>6.8322752103942092E-2</v>
      </c>
      <c r="N19" s="39"/>
      <c r="O19" s="135">
        <f t="shared" si="10"/>
        <v>135.61000000000001</v>
      </c>
      <c r="P19" s="36">
        <f t="shared" si="11"/>
        <v>156.77000000000001</v>
      </c>
      <c r="Q19" s="36">
        <f t="shared" si="12"/>
        <v>292.38</v>
      </c>
      <c r="R19" s="36"/>
      <c r="S19" s="36">
        <f t="shared" si="13"/>
        <v>2.9499999999999886</v>
      </c>
      <c r="T19" s="39">
        <f t="shared" si="14"/>
        <v>1.0192447223853741E-2</v>
      </c>
      <c r="U19" s="23"/>
      <c r="V19" s="135">
        <f t="shared" si="15"/>
        <v>135.41</v>
      </c>
      <c r="W19" s="36">
        <f t="shared" si="4"/>
        <v>156.77000000000001</v>
      </c>
      <c r="X19" s="36">
        <f t="shared" si="16"/>
        <v>292.18</v>
      </c>
      <c r="Y19" s="36"/>
      <c r="Z19" s="36">
        <f t="shared" si="17"/>
        <v>-0.19999999999998863</v>
      </c>
      <c r="AA19" s="39">
        <f t="shared" si="18"/>
        <v>-6.8404131609545334E-4</v>
      </c>
    </row>
    <row r="20" spans="1:27" x14ac:dyDescent="0.3">
      <c r="A20" s="1">
        <f t="shared" si="0"/>
        <v>20</v>
      </c>
      <c r="B20" s="31"/>
      <c r="C20" s="105">
        <v>2000</v>
      </c>
      <c r="D20" s="135">
        <f t="shared" si="1"/>
        <v>213.3</v>
      </c>
      <c r="E20" s="36">
        <f t="shared" si="2"/>
        <v>313.54000000000002</v>
      </c>
      <c r="F20" s="36">
        <f t="shared" si="5"/>
        <v>526.84</v>
      </c>
      <c r="G20" s="36"/>
      <c r="H20" s="135">
        <f t="shared" si="3"/>
        <v>250.32</v>
      </c>
      <c r="I20" s="36">
        <f t="shared" si="6"/>
        <v>313.54000000000002</v>
      </c>
      <c r="J20" s="36">
        <f t="shared" si="7"/>
        <v>563.86</v>
      </c>
      <c r="K20" s="37"/>
      <c r="L20" s="36">
        <f t="shared" si="8"/>
        <v>37.019999999999982</v>
      </c>
      <c r="M20" s="39">
        <f t="shared" si="9"/>
        <v>7.0268013058993203E-2</v>
      </c>
      <c r="N20" s="39"/>
      <c r="O20" s="135">
        <f t="shared" si="10"/>
        <v>256.22000000000003</v>
      </c>
      <c r="P20" s="36">
        <f t="shared" si="11"/>
        <v>313.54000000000002</v>
      </c>
      <c r="Q20" s="36">
        <f t="shared" si="12"/>
        <v>569.76</v>
      </c>
      <c r="R20" s="36"/>
      <c r="S20" s="36">
        <f t="shared" si="13"/>
        <v>5.8999999999999773</v>
      </c>
      <c r="T20" s="39">
        <f t="shared" si="14"/>
        <v>1.0463590252899616E-2</v>
      </c>
      <c r="U20" s="23"/>
      <c r="V20" s="135">
        <f t="shared" si="15"/>
        <v>255.82</v>
      </c>
      <c r="W20" s="36">
        <f t="shared" si="4"/>
        <v>313.54000000000002</v>
      </c>
      <c r="X20" s="36">
        <f t="shared" si="16"/>
        <v>569.36</v>
      </c>
      <c r="Y20" s="36"/>
      <c r="Z20" s="36">
        <f t="shared" si="17"/>
        <v>-0.39999999999997726</v>
      </c>
      <c r="AA20" s="39">
        <f t="shared" si="18"/>
        <v>-7.0204998595896036E-4</v>
      </c>
    </row>
    <row r="21" spans="1:27" x14ac:dyDescent="0.3">
      <c r="A21" s="1">
        <f t="shared" si="0"/>
        <v>21</v>
      </c>
      <c r="B21" s="31"/>
      <c r="C21" s="105">
        <v>4800</v>
      </c>
      <c r="D21" s="135">
        <f t="shared" si="1"/>
        <v>490.92</v>
      </c>
      <c r="E21" s="36">
        <f t="shared" si="2"/>
        <v>752.5</v>
      </c>
      <c r="F21" s="36">
        <f t="shared" si="5"/>
        <v>1243.42</v>
      </c>
      <c r="G21" s="36"/>
      <c r="H21" s="135">
        <f t="shared" si="3"/>
        <v>579.77</v>
      </c>
      <c r="I21" s="36">
        <f t="shared" si="6"/>
        <v>752.5</v>
      </c>
      <c r="J21" s="36">
        <f t="shared" si="7"/>
        <v>1332.27</v>
      </c>
      <c r="K21" s="37"/>
      <c r="L21" s="36">
        <f t="shared" si="8"/>
        <v>88.849999999999909</v>
      </c>
      <c r="M21" s="39">
        <f t="shared" si="9"/>
        <v>7.1456145148059313E-2</v>
      </c>
      <c r="N21" s="39"/>
      <c r="O21" s="135">
        <f t="shared" si="10"/>
        <v>593.92999999999995</v>
      </c>
      <c r="P21" s="36">
        <f t="shared" si="11"/>
        <v>752.5</v>
      </c>
      <c r="Q21" s="36">
        <f t="shared" si="12"/>
        <v>1346.4299999999998</v>
      </c>
      <c r="R21" s="36"/>
      <c r="S21" s="36">
        <f t="shared" si="13"/>
        <v>14.159999999999854</v>
      </c>
      <c r="T21" s="39">
        <f t="shared" si="14"/>
        <v>1.0628476209777188E-2</v>
      </c>
      <c r="U21" s="23"/>
      <c r="V21" s="135">
        <f t="shared" si="15"/>
        <v>592.97</v>
      </c>
      <c r="W21" s="36">
        <f t="shared" si="4"/>
        <v>752.5</v>
      </c>
      <c r="X21" s="36">
        <f t="shared" si="16"/>
        <v>1345.47</v>
      </c>
      <c r="Y21" s="36"/>
      <c r="Z21" s="36">
        <f t="shared" si="17"/>
        <v>-0.95999999999980901</v>
      </c>
      <c r="AA21" s="39">
        <f t="shared" si="18"/>
        <v>-7.1299659098490763E-4</v>
      </c>
    </row>
    <row r="22" spans="1:27" x14ac:dyDescent="0.3">
      <c r="A22" s="1">
        <f t="shared" si="0"/>
        <v>22</v>
      </c>
      <c r="B22" s="31"/>
      <c r="C22" s="105">
        <v>18000</v>
      </c>
      <c r="D22" s="135">
        <f>ROUND(H$58*$C22+H$57,2)</f>
        <v>1799.7</v>
      </c>
      <c r="E22" s="36">
        <f t="shared" si="2"/>
        <v>2821.86</v>
      </c>
      <c r="F22" s="36">
        <f t="shared" si="5"/>
        <v>4621.5600000000004</v>
      </c>
      <c r="G22" s="36"/>
      <c r="H22" s="135">
        <f>ROUND(I$58*$C22+I$57,2)</f>
        <v>2132.88</v>
      </c>
      <c r="I22" s="36">
        <f t="shared" si="6"/>
        <v>2821.86</v>
      </c>
      <c r="J22" s="36">
        <f t="shared" si="7"/>
        <v>4954.74</v>
      </c>
      <c r="K22" s="37"/>
      <c r="L22" s="36">
        <f>+J22-F22</f>
        <v>333.17999999999938</v>
      </c>
      <c r="M22" s="39">
        <f t="shared" si="9"/>
        <v>7.2092540181237369E-2</v>
      </c>
      <c r="N22" s="39"/>
      <c r="O22" s="135">
        <f t="shared" si="10"/>
        <v>2185.98</v>
      </c>
      <c r="P22" s="36">
        <f t="shared" si="11"/>
        <v>2821.86</v>
      </c>
      <c r="Q22" s="36">
        <f t="shared" si="12"/>
        <v>5007.84</v>
      </c>
      <c r="R22" s="36"/>
      <c r="S22" s="36">
        <f t="shared" si="13"/>
        <v>53.100000000000364</v>
      </c>
      <c r="T22" s="39">
        <f t="shared" si="14"/>
        <v>1.0717010377941196E-2</v>
      </c>
      <c r="U22" s="23"/>
      <c r="V22" s="135">
        <f t="shared" si="15"/>
        <v>2182.38</v>
      </c>
      <c r="W22" s="36">
        <f t="shared" si="4"/>
        <v>2821.86</v>
      </c>
      <c r="X22" s="36">
        <f t="shared" si="16"/>
        <v>5004.24</v>
      </c>
      <c r="Y22" s="36"/>
      <c r="Z22" s="36">
        <f t="shared" si="17"/>
        <v>-3.6000000000003638</v>
      </c>
      <c r="AA22" s="39">
        <f t="shared" si="18"/>
        <v>-7.1887280743800997E-4</v>
      </c>
    </row>
    <row r="23" spans="1:27" x14ac:dyDescent="0.3">
      <c r="A23" s="1">
        <f t="shared" si="0"/>
        <v>23</v>
      </c>
      <c r="B23" s="31" t="s">
        <v>52</v>
      </c>
      <c r="C23" s="105">
        <v>2700</v>
      </c>
      <c r="D23" s="135">
        <f t="shared" si="1"/>
        <v>282.70999999999998</v>
      </c>
      <c r="E23" s="36">
        <f>ROUND($H$59*C23,2)</f>
        <v>423.28</v>
      </c>
      <c r="F23" s="135">
        <f t="shared" si="5"/>
        <v>705.99</v>
      </c>
      <c r="G23" s="136"/>
      <c r="H23" s="135">
        <f t="shared" si="3"/>
        <v>332.68</v>
      </c>
      <c r="I23" s="36">
        <f>ROUND($I$59*C23,2)</f>
        <v>423.28</v>
      </c>
      <c r="J23" s="135">
        <f t="shared" si="7"/>
        <v>755.96</v>
      </c>
      <c r="K23" s="136"/>
      <c r="L23" s="135">
        <f t="shared" si="8"/>
        <v>49.970000000000027</v>
      </c>
      <c r="M23" s="137">
        <f t="shared" si="9"/>
        <v>7.0780039377328324E-2</v>
      </c>
      <c r="N23" s="137"/>
      <c r="O23" s="135">
        <f t="shared" si="10"/>
        <v>340.65</v>
      </c>
      <c r="P23" s="36">
        <f t="shared" si="11"/>
        <v>423.28</v>
      </c>
      <c r="Q23" s="135">
        <f t="shared" si="12"/>
        <v>763.93</v>
      </c>
      <c r="R23" s="137"/>
      <c r="S23" s="36">
        <f t="shared" si="13"/>
        <v>7.9699999999999136</v>
      </c>
      <c r="T23" s="39">
        <f t="shared" si="14"/>
        <v>1.0542885866976975E-2</v>
      </c>
      <c r="U23" s="137"/>
      <c r="V23" s="135">
        <f t="shared" si="15"/>
        <v>340.11</v>
      </c>
      <c r="W23" s="36">
        <f t="shared" si="4"/>
        <v>423.28</v>
      </c>
      <c r="X23" s="135">
        <f t="shared" si="16"/>
        <v>763.39</v>
      </c>
      <c r="Y23" s="138"/>
      <c r="Z23" s="36">
        <f t="shared" si="17"/>
        <v>-0.53999999999996362</v>
      </c>
      <c r="AA23" s="39">
        <f t="shared" si="18"/>
        <v>-7.0687104839443882E-4</v>
      </c>
    </row>
    <row r="24" spans="1:27" x14ac:dyDescent="0.3">
      <c r="A24" s="1">
        <f t="shared" si="0"/>
        <v>24</v>
      </c>
      <c r="B24" s="31"/>
      <c r="C24" s="152"/>
      <c r="D24" s="153"/>
      <c r="E24" s="153"/>
      <c r="F24" s="154"/>
      <c r="G24" s="155"/>
      <c r="H24" s="153"/>
      <c r="I24" s="153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X24" s="17"/>
    </row>
    <row r="25" spans="1:27" x14ac:dyDescent="0.3">
      <c r="A25" s="1">
        <f t="shared" si="0"/>
        <v>25</v>
      </c>
      <c r="B25" s="31"/>
      <c r="C25" s="105"/>
      <c r="D25" s="135"/>
      <c r="E25" s="135"/>
      <c r="F25" s="139"/>
      <c r="G25" s="140"/>
      <c r="X25" s="17"/>
    </row>
    <row r="26" spans="1:27" x14ac:dyDescent="0.3">
      <c r="A26" s="1">
        <f t="shared" si="0"/>
        <v>26</v>
      </c>
      <c r="B26" s="31"/>
      <c r="C26" s="44" t="s">
        <v>53</v>
      </c>
      <c r="H26" s="45">
        <f>'EMA R1'!H28</f>
        <v>2024</v>
      </c>
      <c r="I26" s="45">
        <f>'EMA R1'!I28</f>
        <v>2025</v>
      </c>
      <c r="J26" s="45">
        <f>'EMA R1'!J28</f>
        <v>2026</v>
      </c>
      <c r="K26" s="45"/>
      <c r="L26" s="45">
        <f>'EMA R1'!L28</f>
        <v>2027</v>
      </c>
      <c r="M26" s="45" t="str">
        <f>'EMA R1'!M28</f>
        <v>2025 v 2024</v>
      </c>
      <c r="N26" s="45"/>
      <c r="O26" s="45" t="str">
        <f>'EMA R1'!O28</f>
        <v>2026 v 2025</v>
      </c>
      <c r="P26" s="45" t="str">
        <f>'EMA R1'!P28</f>
        <v>2027 v 2026</v>
      </c>
    </row>
    <row r="27" spans="1:27" x14ac:dyDescent="0.3">
      <c r="A27" s="1">
        <f t="shared" si="0"/>
        <v>27</v>
      </c>
      <c r="B27" s="31"/>
      <c r="C27" s="23" t="s">
        <v>53</v>
      </c>
      <c r="H27" s="47" t="str">
        <f>+'BOS G1ND'!H27</f>
        <v>Rates</v>
      </c>
      <c r="I27" s="47" t="s">
        <v>57</v>
      </c>
      <c r="J27" s="47" t="s">
        <v>57</v>
      </c>
      <c r="K27" s="37"/>
      <c r="L27" s="47" t="s">
        <v>57</v>
      </c>
      <c r="M27" s="48" t="s">
        <v>51</v>
      </c>
      <c r="N27" s="22"/>
      <c r="O27" s="48" t="s">
        <v>51</v>
      </c>
      <c r="P27" s="48" t="s">
        <v>51</v>
      </c>
    </row>
    <row r="28" spans="1:27" x14ac:dyDescent="0.3">
      <c r="A28" s="1">
        <f t="shared" si="0"/>
        <v>28</v>
      </c>
      <c r="B28" s="31"/>
      <c r="C28" s="44" t="s">
        <v>58</v>
      </c>
      <c r="G28" s="142"/>
      <c r="H28" s="88">
        <v>15</v>
      </c>
      <c r="I28" s="49">
        <f t="shared" ref="I28:I55" si="19">+H28</f>
        <v>15</v>
      </c>
      <c r="J28" s="49">
        <f t="shared" ref="J28:J55" si="20">H28</f>
        <v>15</v>
      </c>
      <c r="K28" s="37"/>
      <c r="L28" s="49">
        <f t="shared" ref="L28:L55" si="21">H28</f>
        <v>15</v>
      </c>
      <c r="M28" s="50">
        <f t="shared" ref="M28:M55" si="22">+I28-H28</f>
        <v>0</v>
      </c>
      <c r="N28" s="50"/>
      <c r="O28" s="50">
        <f t="shared" ref="O28:O55" si="23">+J28-I28</f>
        <v>0</v>
      </c>
      <c r="P28" s="50">
        <f t="shared" ref="P28:P55" si="24">+L28-J28</f>
        <v>0</v>
      </c>
      <c r="Q28" s="89" t="s">
        <v>59</v>
      </c>
      <c r="W28" s="51"/>
    </row>
    <row r="29" spans="1:27" x14ac:dyDescent="0.3">
      <c r="A29" s="1">
        <f t="shared" si="0"/>
        <v>29</v>
      </c>
      <c r="B29" s="31"/>
      <c r="C29" s="44" t="s">
        <v>60</v>
      </c>
      <c r="G29" s="92"/>
      <c r="H29" s="91">
        <v>3.431E-2</v>
      </c>
      <c r="I29" s="53">
        <f t="shared" si="19"/>
        <v>3.431E-2</v>
      </c>
      <c r="J29" s="53">
        <f t="shared" si="20"/>
        <v>3.431E-2</v>
      </c>
      <c r="K29" s="37"/>
      <c r="L29" s="53">
        <f t="shared" si="21"/>
        <v>3.431E-2</v>
      </c>
      <c r="M29" s="54">
        <f t="shared" si="22"/>
        <v>0</v>
      </c>
      <c r="N29" s="54"/>
      <c r="O29" s="54">
        <f t="shared" si="23"/>
        <v>0</v>
      </c>
      <c r="P29" s="54">
        <f t="shared" si="24"/>
        <v>0</v>
      </c>
      <c r="Q29" s="89" t="s">
        <v>59</v>
      </c>
      <c r="W29" s="51"/>
    </row>
    <row r="30" spans="1:27" x14ac:dyDescent="0.3">
      <c r="A30" s="1">
        <f t="shared" si="0"/>
        <v>30</v>
      </c>
      <c r="B30" s="31"/>
      <c r="C30" s="44" t="str">
        <f>+'BOS G1ND'!C30</f>
        <v>Exogenous Cost Adjustment</v>
      </c>
      <c r="G30" s="92"/>
      <c r="H30" s="91">
        <v>7.5000000000000002E-4</v>
      </c>
      <c r="I30" s="53">
        <f t="shared" si="19"/>
        <v>7.5000000000000002E-4</v>
      </c>
      <c r="J30" s="53">
        <f t="shared" si="20"/>
        <v>7.5000000000000002E-4</v>
      </c>
      <c r="K30" s="37"/>
      <c r="L30" s="53">
        <f t="shared" si="21"/>
        <v>7.5000000000000002E-4</v>
      </c>
      <c r="M30" s="54">
        <f t="shared" si="22"/>
        <v>0</v>
      </c>
      <c r="N30" s="54"/>
      <c r="O30" s="54">
        <f t="shared" si="23"/>
        <v>0</v>
      </c>
      <c r="P30" s="54">
        <f t="shared" si="24"/>
        <v>0</v>
      </c>
      <c r="Q30" s="89" t="str">
        <f>+'BOS G1ND'!Q30</f>
        <v>ECA</v>
      </c>
      <c r="W30" s="51"/>
    </row>
    <row r="31" spans="1:27" x14ac:dyDescent="0.3">
      <c r="A31" s="1">
        <f t="shared" si="0"/>
        <v>31</v>
      </c>
      <c r="B31" s="31"/>
      <c r="C31" s="44" t="str">
        <f>+'BOS G1ND'!C31</f>
        <v>Revenue Decoupling</v>
      </c>
      <c r="G31" s="92"/>
      <c r="H31" s="91">
        <v>4.0000000000000003E-5</v>
      </c>
      <c r="I31" s="53">
        <f t="shared" si="19"/>
        <v>4.0000000000000003E-5</v>
      </c>
      <c r="J31" s="53">
        <f t="shared" si="20"/>
        <v>4.0000000000000003E-5</v>
      </c>
      <c r="K31" s="37"/>
      <c r="L31" s="53">
        <f t="shared" si="21"/>
        <v>4.0000000000000003E-5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89" t="str">
        <f>+'BOS G1ND'!Q31</f>
        <v>RDAF</v>
      </c>
      <c r="W31" s="51"/>
    </row>
    <row r="32" spans="1:27" x14ac:dyDescent="0.3">
      <c r="A32" s="1">
        <f t="shared" si="0"/>
        <v>32</v>
      </c>
      <c r="B32" s="31"/>
      <c r="C32" s="44" t="str">
        <f>+'BOS G1ND'!C32</f>
        <v>Distributed Solar Charge</v>
      </c>
      <c r="G32" s="92"/>
      <c r="H32" s="91">
        <v>5.8999999999999999E-3</v>
      </c>
      <c r="I32" s="53">
        <f t="shared" si="19"/>
        <v>5.8999999999999999E-3</v>
      </c>
      <c r="J32" s="53">
        <f t="shared" si="20"/>
        <v>5.8999999999999999E-3</v>
      </c>
      <c r="K32" s="37"/>
      <c r="L32" s="53">
        <f t="shared" si="21"/>
        <v>5.8999999999999999E-3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89" t="str">
        <f>+'BOS G1ND'!Q32</f>
        <v>SMART</v>
      </c>
      <c r="W32" s="51"/>
    </row>
    <row r="33" spans="1:23" x14ac:dyDescent="0.3">
      <c r="A33" s="1">
        <f t="shared" si="0"/>
        <v>33</v>
      </c>
      <c r="B33" s="31"/>
      <c r="C33" s="44" t="str">
        <f>+'BOS G1ND'!C33</f>
        <v>Residential Assistance Adjustment Factor</v>
      </c>
      <c r="G33" s="92"/>
      <c r="H33" s="53">
        <v>6.0200000000000002E-3</v>
      </c>
      <c r="I33" s="53">
        <f t="shared" si="19"/>
        <v>6.0200000000000002E-3</v>
      </c>
      <c r="J33" s="53">
        <f t="shared" si="20"/>
        <v>6.0200000000000002E-3</v>
      </c>
      <c r="K33" s="37"/>
      <c r="L33" s="53">
        <f t="shared" si="21"/>
        <v>6.0200000000000002E-3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89" t="str">
        <f>+'BOS G1ND'!Q33</f>
        <v>RAAF</v>
      </c>
      <c r="W33" s="51"/>
    </row>
    <row r="34" spans="1:23" x14ac:dyDescent="0.3">
      <c r="A34" s="1">
        <f t="shared" si="0"/>
        <v>34</v>
      </c>
      <c r="B34" s="31"/>
      <c r="C34" s="44" t="str">
        <f>+'BOS G1ND'!C34</f>
        <v>Pension Adjustment Factor</v>
      </c>
      <c r="G34" s="92"/>
      <c r="H34" s="53">
        <v>5.8E-4</v>
      </c>
      <c r="I34" s="53">
        <f t="shared" si="19"/>
        <v>5.8E-4</v>
      </c>
      <c r="J34" s="53">
        <f t="shared" si="20"/>
        <v>5.8E-4</v>
      </c>
      <c r="K34" s="37"/>
      <c r="L34" s="53">
        <f t="shared" si="21"/>
        <v>5.8E-4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89" t="str">
        <f>+'BOS G1ND'!Q34</f>
        <v>PAF</v>
      </c>
      <c r="W34" s="51"/>
    </row>
    <row r="35" spans="1:23" x14ac:dyDescent="0.3">
      <c r="A35" s="1">
        <f t="shared" si="0"/>
        <v>35</v>
      </c>
      <c r="B35" s="31"/>
      <c r="C35" s="44" t="str">
        <f>+'BOS G1ND'!C35</f>
        <v>Net Metering Recovery Surcharge</v>
      </c>
      <c r="G35" s="92"/>
      <c r="H35" s="91">
        <v>1.197E-2</v>
      </c>
      <c r="I35" s="53">
        <f t="shared" si="19"/>
        <v>1.197E-2</v>
      </c>
      <c r="J35" s="53">
        <f t="shared" si="20"/>
        <v>1.197E-2</v>
      </c>
      <c r="K35" s="37"/>
      <c r="L35" s="53">
        <f t="shared" si="21"/>
        <v>1.197E-2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89" t="str">
        <f>+'BOS G1ND'!Q35</f>
        <v>NMRS</v>
      </c>
      <c r="W35" s="51"/>
    </row>
    <row r="36" spans="1:23" x14ac:dyDescent="0.3">
      <c r="A36" s="1">
        <f t="shared" si="0"/>
        <v>36</v>
      </c>
      <c r="B36" s="31"/>
      <c r="C36" s="44" t="str">
        <f>+'BOS G1ND'!C36</f>
        <v>Long Term Renewable Contract Adjustment</v>
      </c>
      <c r="G36" s="92"/>
      <c r="H36" s="53">
        <v>-1.9300000000000001E-3</v>
      </c>
      <c r="I36" s="53">
        <f t="shared" si="19"/>
        <v>-1.9300000000000001E-3</v>
      </c>
      <c r="J36" s="53">
        <f t="shared" si="20"/>
        <v>-1.9300000000000001E-3</v>
      </c>
      <c r="K36" s="37"/>
      <c r="L36" s="53">
        <f t="shared" si="21"/>
        <v>-1.9300000000000001E-3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89" t="str">
        <f>+'BOS G1ND'!Q36</f>
        <v>LTRCA</v>
      </c>
      <c r="W36" s="51"/>
    </row>
    <row r="37" spans="1:23" x14ac:dyDescent="0.3">
      <c r="A37" s="1">
        <f t="shared" si="0"/>
        <v>37</v>
      </c>
      <c r="B37" s="31"/>
      <c r="C37" s="44" t="str">
        <f>+'BOS G1ND'!C37</f>
        <v>AG Consulting Expense</v>
      </c>
      <c r="G37" s="92"/>
      <c r="H37" s="53">
        <v>4.0000000000000003E-5</v>
      </c>
      <c r="I37" s="53">
        <f t="shared" si="19"/>
        <v>4.0000000000000003E-5</v>
      </c>
      <c r="J37" s="53">
        <f t="shared" si="20"/>
        <v>4.0000000000000003E-5</v>
      </c>
      <c r="K37" s="37"/>
      <c r="L37" s="53">
        <f t="shared" si="21"/>
        <v>4.0000000000000003E-5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89" t="str">
        <f>+'BOS G1ND'!Q37</f>
        <v>AGCE</v>
      </c>
      <c r="W37" s="51"/>
    </row>
    <row r="38" spans="1:23" x14ac:dyDescent="0.3">
      <c r="A38" s="1">
        <f t="shared" si="0"/>
        <v>38</v>
      </c>
      <c r="B38" s="31"/>
      <c r="C38" s="44" t="str">
        <f>+'BOS G1ND'!C38</f>
        <v>Storm Cost Recovery Adjustment Factor</v>
      </c>
      <c r="G38" s="92"/>
      <c r="H38" s="53">
        <v>4.8900000000000002E-3</v>
      </c>
      <c r="I38" s="53">
        <f t="shared" si="19"/>
        <v>4.8900000000000002E-3</v>
      </c>
      <c r="J38" s="53">
        <f t="shared" si="20"/>
        <v>4.8900000000000002E-3</v>
      </c>
      <c r="K38" s="37"/>
      <c r="L38" s="53">
        <f t="shared" si="21"/>
        <v>4.8900000000000002E-3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89" t="str">
        <f>+'BOS G1ND'!Q38</f>
        <v>SCRA</v>
      </c>
      <c r="W38" s="51"/>
    </row>
    <row r="39" spans="1:23" x14ac:dyDescent="0.3">
      <c r="A39" s="1">
        <f t="shared" si="0"/>
        <v>39</v>
      </c>
      <c r="B39" s="31"/>
      <c r="C39" s="44" t="str">
        <f>+'BOS G1ND'!C39</f>
        <v>Storm Reserve Adjustment</v>
      </c>
      <c r="G39" s="92"/>
      <c r="H39" s="53">
        <v>0</v>
      </c>
      <c r="I39" s="53">
        <f t="shared" si="19"/>
        <v>0</v>
      </c>
      <c r="J39" s="53">
        <f t="shared" si="20"/>
        <v>0</v>
      </c>
      <c r="K39" s="37"/>
      <c r="L39" s="53">
        <f t="shared" si="21"/>
        <v>0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89" t="str">
        <f>+'BOS G1ND'!Q39</f>
        <v>SRA</v>
      </c>
      <c r="W39" s="51"/>
    </row>
    <row r="40" spans="1:23" x14ac:dyDescent="0.3">
      <c r="A40" s="1">
        <f t="shared" si="0"/>
        <v>40</v>
      </c>
      <c r="B40" s="31"/>
      <c r="C40" s="44" t="str">
        <f>+'BOS G1ND'!C40</f>
        <v>Basic Service Cost True Up Factor</v>
      </c>
      <c r="G40" s="92"/>
      <c r="H40" s="53">
        <v>-3.4000000000000002E-4</v>
      </c>
      <c r="I40" s="53">
        <f t="shared" si="19"/>
        <v>-3.4000000000000002E-4</v>
      </c>
      <c r="J40" s="53">
        <f t="shared" si="20"/>
        <v>-3.4000000000000002E-4</v>
      </c>
      <c r="K40" s="37"/>
      <c r="L40" s="53">
        <f t="shared" si="21"/>
        <v>-3.4000000000000002E-4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89" t="str">
        <f>+'BOS G1ND'!Q40</f>
        <v>BSTF</v>
      </c>
      <c r="W40" s="51"/>
    </row>
    <row r="41" spans="1:23" x14ac:dyDescent="0.3">
      <c r="A41" s="1">
        <f t="shared" si="0"/>
        <v>41</v>
      </c>
      <c r="B41" s="31"/>
      <c r="C41" s="44" t="str">
        <f>+'BOS G1ND'!C41</f>
        <v>Solar Program Cost Adjustment Factor</v>
      </c>
      <c r="G41" s="92"/>
      <c r="H41" s="53">
        <v>1.0000000000000001E-5</v>
      </c>
      <c r="I41" s="53">
        <f t="shared" si="19"/>
        <v>1.0000000000000001E-5</v>
      </c>
      <c r="J41" s="53">
        <f t="shared" si="20"/>
        <v>1.0000000000000001E-5</v>
      </c>
      <c r="K41" s="37"/>
      <c r="L41" s="53">
        <f t="shared" si="21"/>
        <v>1.0000000000000001E-5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89" t="str">
        <f>+'BOS G1ND'!Q41</f>
        <v>SPCA</v>
      </c>
      <c r="W41" s="51"/>
    </row>
    <row r="42" spans="1:23" x14ac:dyDescent="0.3">
      <c r="A42" s="1">
        <f t="shared" si="0"/>
        <v>42</v>
      </c>
      <c r="B42" s="31"/>
      <c r="C42" s="44" t="str">
        <f>+'BOS G1ND'!C42</f>
        <v>Solar Expansion Cost Recovery Factor</v>
      </c>
      <c r="D42" s="37"/>
      <c r="E42" s="37"/>
      <c r="G42" s="53"/>
      <c r="H42" s="53">
        <v>-3.6999999999999999E-4</v>
      </c>
      <c r="I42" s="53">
        <f t="shared" si="19"/>
        <v>-3.6999999999999999E-4</v>
      </c>
      <c r="J42" s="53">
        <f t="shared" si="20"/>
        <v>-3.6999999999999999E-4</v>
      </c>
      <c r="K42" s="37"/>
      <c r="L42" s="53">
        <f t="shared" si="21"/>
        <v>-3.6999999999999999E-4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89" t="str">
        <f>+'BOS G1ND'!Q42</f>
        <v>SECRF</v>
      </c>
      <c r="W42" s="51"/>
    </row>
    <row r="43" spans="1:23" x14ac:dyDescent="0.3">
      <c r="A43" s="1">
        <f t="shared" si="0"/>
        <v>43</v>
      </c>
      <c r="B43" s="31"/>
      <c r="C43" s="44" t="str">
        <f>+'BOS G1ND'!C43</f>
        <v>Vegetation Management</v>
      </c>
      <c r="D43" s="37"/>
      <c r="E43" s="37"/>
      <c r="G43" s="53"/>
      <c r="H43" s="53">
        <v>1.2999999999999999E-3</v>
      </c>
      <c r="I43" s="53">
        <f t="shared" si="19"/>
        <v>1.2999999999999999E-3</v>
      </c>
      <c r="J43" s="53">
        <f t="shared" si="20"/>
        <v>1.2999999999999999E-3</v>
      </c>
      <c r="K43" s="37"/>
      <c r="L43" s="53">
        <f t="shared" si="21"/>
        <v>1.2999999999999999E-3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89" t="str">
        <f>+'BOS G1ND'!Q43</f>
        <v>RTWF</v>
      </c>
      <c r="W43" s="51"/>
    </row>
    <row r="44" spans="1:23" x14ac:dyDescent="0.3">
      <c r="A44" s="1">
        <f t="shared" si="0"/>
        <v>44</v>
      </c>
      <c r="B44" s="31"/>
      <c r="C44" s="44" t="str">
        <f>+'BOS G1ND'!C44</f>
        <v>Tax Act Credit Factor</v>
      </c>
      <c r="G44" s="92"/>
      <c r="H44" s="53">
        <v>-1.33E-3</v>
      </c>
      <c r="I44" s="53">
        <f t="shared" si="19"/>
        <v>-1.33E-3</v>
      </c>
      <c r="J44" s="53">
        <f t="shared" si="20"/>
        <v>-1.33E-3</v>
      </c>
      <c r="K44" s="37"/>
      <c r="L44" s="53">
        <f t="shared" si="21"/>
        <v>-1.33E-3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89" t="str">
        <f>+'BOS G1ND'!Q44</f>
        <v>TACF</v>
      </c>
      <c r="W44" s="51"/>
    </row>
    <row r="45" spans="1:23" x14ac:dyDescent="0.3">
      <c r="A45" s="1">
        <f t="shared" si="0"/>
        <v>45</v>
      </c>
      <c r="B45" s="31"/>
      <c r="C45" s="44" t="str">
        <f>+'BOS G1ND'!C45</f>
        <v>Grid Modernization</v>
      </c>
      <c r="G45" s="92"/>
      <c r="H45" s="53">
        <v>1.65E-3</v>
      </c>
      <c r="I45" s="53">
        <f t="shared" si="19"/>
        <v>1.65E-3</v>
      </c>
      <c r="J45" s="53">
        <f t="shared" si="20"/>
        <v>1.65E-3</v>
      </c>
      <c r="K45" s="37"/>
      <c r="L45" s="53">
        <f t="shared" si="21"/>
        <v>1.65E-3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89" t="str">
        <f>+'BOS G1ND'!Q45</f>
        <v>GMOD</v>
      </c>
      <c r="W45" s="51"/>
    </row>
    <row r="46" spans="1:23" x14ac:dyDescent="0.3">
      <c r="A46" s="1">
        <f t="shared" si="0"/>
        <v>46</v>
      </c>
      <c r="B46" s="31"/>
      <c r="C46" s="44" t="str">
        <f>+'BOS G1ND'!C46</f>
        <v>Advanced Metering Infrastructure</v>
      </c>
      <c r="G46" s="92"/>
      <c r="H46" s="53">
        <v>2.1900000000000001E-3</v>
      </c>
      <c r="I46" s="53">
        <f t="shared" si="19"/>
        <v>2.1900000000000001E-3</v>
      </c>
      <c r="J46" s="53">
        <f t="shared" si="20"/>
        <v>2.1900000000000001E-3</v>
      </c>
      <c r="K46" s="37"/>
      <c r="L46" s="53">
        <f t="shared" si="21"/>
        <v>2.1900000000000001E-3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89" t="str">
        <f>+'BOS G1ND'!Q46</f>
        <v>AMIF</v>
      </c>
      <c r="W46" s="51"/>
    </row>
    <row r="47" spans="1:23" x14ac:dyDescent="0.3">
      <c r="A47" s="1">
        <f t="shared" si="0"/>
        <v>47</v>
      </c>
      <c r="B47" s="31"/>
      <c r="C47" s="44" t="str">
        <f>+'BOS G1ND'!C47</f>
        <v>Electronic Payment Recovery</v>
      </c>
      <c r="G47" s="92"/>
      <c r="H47" s="53">
        <v>0</v>
      </c>
      <c r="I47" s="53">
        <f t="shared" si="19"/>
        <v>0</v>
      </c>
      <c r="J47" s="53">
        <f t="shared" si="20"/>
        <v>0</v>
      </c>
      <c r="K47" s="37"/>
      <c r="L47" s="53">
        <f t="shared" si="21"/>
        <v>0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89" t="str">
        <f>+'BOS G1ND'!Q47</f>
        <v>EPR</v>
      </c>
      <c r="W47" s="51"/>
    </row>
    <row r="48" spans="1:23" x14ac:dyDescent="0.3">
      <c r="A48" s="1">
        <f t="shared" si="0"/>
        <v>48</v>
      </c>
      <c r="B48" s="31"/>
      <c r="C48" s="44" t="str">
        <f>+'BOS G1ND'!C48</f>
        <v>Provisional System Planning Factor</v>
      </c>
      <c r="G48" s="92"/>
      <c r="H48" s="91">
        <v>0</v>
      </c>
      <c r="I48" s="53">
        <f t="shared" si="19"/>
        <v>0</v>
      </c>
      <c r="J48" s="53">
        <f t="shared" si="20"/>
        <v>0</v>
      </c>
      <c r="K48" s="37"/>
      <c r="L48" s="53">
        <f t="shared" si="21"/>
        <v>0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89" t="str">
        <f>+'BOS G1ND'!Q48</f>
        <v>PSPF</v>
      </c>
      <c r="W48" s="51"/>
    </row>
    <row r="49" spans="1:23" x14ac:dyDescent="0.3">
      <c r="A49" s="1">
        <f t="shared" si="0"/>
        <v>49</v>
      </c>
      <c r="B49" s="31"/>
      <c r="C49" s="44" t="str">
        <f>+'BOS G1ND'!C49</f>
        <v>Electric Vehicle Factor</v>
      </c>
      <c r="G49" s="92"/>
      <c r="H49" s="91">
        <v>1.0300000000000001E-3</v>
      </c>
      <c r="I49" s="53">
        <f t="shared" si="19"/>
        <v>1.0300000000000001E-3</v>
      </c>
      <c r="J49" s="53">
        <f t="shared" si="20"/>
        <v>1.0300000000000001E-3</v>
      </c>
      <c r="K49" s="37"/>
      <c r="L49" s="53">
        <f t="shared" si="21"/>
        <v>1.0300000000000001E-3</v>
      </c>
      <c r="M49" s="54">
        <f t="shared" si="22"/>
        <v>0</v>
      </c>
      <c r="N49" s="54"/>
      <c r="O49" s="54">
        <f t="shared" si="23"/>
        <v>0</v>
      </c>
      <c r="P49" s="54">
        <f t="shared" si="24"/>
        <v>0</v>
      </c>
      <c r="Q49" s="89" t="str">
        <f>+'BOS G1ND'!Q49</f>
        <v>EVF</v>
      </c>
      <c r="W49" s="51"/>
    </row>
    <row r="50" spans="1:23" x14ac:dyDescent="0.3">
      <c r="A50" s="1">
        <f t="shared" si="0"/>
        <v>50</v>
      </c>
      <c r="B50" s="31"/>
      <c r="C50" s="44" t="str">
        <f>+'BOS G1ND'!C50</f>
        <v>Transition</v>
      </c>
      <c r="G50" s="92"/>
      <c r="H50" s="91">
        <v>-3.6999999999999999E-4</v>
      </c>
      <c r="I50" s="53">
        <f t="shared" si="19"/>
        <v>-3.6999999999999999E-4</v>
      </c>
      <c r="J50" s="53">
        <f t="shared" si="20"/>
        <v>-3.6999999999999999E-4</v>
      </c>
      <c r="K50" s="37"/>
      <c r="L50" s="53">
        <f t="shared" si="21"/>
        <v>-3.6999999999999999E-4</v>
      </c>
      <c r="M50" s="54">
        <f t="shared" si="22"/>
        <v>0</v>
      </c>
      <c r="N50" s="54"/>
      <c r="O50" s="54">
        <f t="shared" si="23"/>
        <v>0</v>
      </c>
      <c r="P50" s="54">
        <f t="shared" si="24"/>
        <v>0</v>
      </c>
      <c r="Q50" s="89" t="str">
        <f>+'BOS G1ND'!Q50</f>
        <v>TRNSN</v>
      </c>
      <c r="W50" s="51"/>
    </row>
    <row r="51" spans="1:23" x14ac:dyDescent="0.3">
      <c r="A51" s="1">
        <f t="shared" si="0"/>
        <v>51</v>
      </c>
      <c r="B51" s="31"/>
      <c r="C51" s="44" t="s">
        <v>103</v>
      </c>
      <c r="G51" s="92"/>
      <c r="H51" s="91">
        <v>3.7940000000000002E-2</v>
      </c>
      <c r="I51" s="53">
        <f t="shared" si="19"/>
        <v>3.7940000000000002E-2</v>
      </c>
      <c r="J51" s="53">
        <f t="shared" si="20"/>
        <v>3.7940000000000002E-2</v>
      </c>
      <c r="K51" s="37"/>
      <c r="L51" s="53">
        <f t="shared" si="21"/>
        <v>3.7940000000000002E-2</v>
      </c>
      <c r="M51" s="54">
        <f t="shared" si="22"/>
        <v>0</v>
      </c>
      <c r="N51" s="54"/>
      <c r="O51" s="54">
        <f t="shared" si="23"/>
        <v>0</v>
      </c>
      <c r="P51" s="54">
        <f t="shared" si="24"/>
        <v>0</v>
      </c>
      <c r="Q51" s="51" t="s">
        <v>104</v>
      </c>
      <c r="W51" s="51"/>
    </row>
    <row r="52" spans="1:23" x14ac:dyDescent="0.3">
      <c r="A52" s="1">
        <f t="shared" si="0"/>
        <v>52</v>
      </c>
      <c r="B52" s="31"/>
      <c r="C52" s="44" t="s">
        <v>105</v>
      </c>
      <c r="G52" s="92"/>
      <c r="H52" s="91">
        <v>-8.1300000000000001E-3</v>
      </c>
      <c r="I52" s="53">
        <v>1.038E-2</v>
      </c>
      <c r="J52" s="53">
        <v>1.333E-2</v>
      </c>
      <c r="K52" s="53"/>
      <c r="L52" s="53">
        <v>1.3129999999999999E-2</v>
      </c>
      <c r="M52" s="54">
        <f t="shared" si="22"/>
        <v>1.8509999999999999E-2</v>
      </c>
      <c r="N52" s="54"/>
      <c r="O52" s="54">
        <f t="shared" si="23"/>
        <v>2.9499999999999995E-3</v>
      </c>
      <c r="P52" s="54">
        <f t="shared" si="24"/>
        <v>-2.0000000000000052E-4</v>
      </c>
      <c r="Q52" s="89" t="s">
        <v>106</v>
      </c>
      <c r="W52" s="51"/>
    </row>
    <row r="53" spans="1:23" x14ac:dyDescent="0.3">
      <c r="A53" s="1">
        <f t="shared" si="0"/>
        <v>53</v>
      </c>
      <c r="B53" s="31"/>
      <c r="C53" s="44" t="s">
        <v>107</v>
      </c>
      <c r="G53" s="92"/>
      <c r="H53" s="91">
        <v>2.5000000000000001E-3</v>
      </c>
      <c r="I53" s="53">
        <f t="shared" si="19"/>
        <v>2.5000000000000001E-3</v>
      </c>
      <c r="J53" s="53">
        <f t="shared" si="20"/>
        <v>2.5000000000000001E-3</v>
      </c>
      <c r="K53" s="37"/>
      <c r="L53" s="53">
        <f t="shared" si="21"/>
        <v>2.5000000000000001E-3</v>
      </c>
      <c r="M53" s="54">
        <f t="shared" si="22"/>
        <v>0</v>
      </c>
      <c r="N53" s="54"/>
      <c r="O53" s="54">
        <f t="shared" si="23"/>
        <v>0</v>
      </c>
      <c r="P53" s="54">
        <f t="shared" si="24"/>
        <v>0</v>
      </c>
      <c r="Q53" s="89" t="s">
        <v>108</v>
      </c>
      <c r="W53" s="51"/>
    </row>
    <row r="54" spans="1:23" x14ac:dyDescent="0.3">
      <c r="A54" s="1">
        <f t="shared" si="0"/>
        <v>54</v>
      </c>
      <c r="B54" s="31"/>
      <c r="C54" s="44" t="s">
        <v>109</v>
      </c>
      <c r="E54" s="44"/>
      <c r="G54" s="92"/>
      <c r="H54" s="91">
        <v>5.0000000000000001E-4</v>
      </c>
      <c r="I54" s="53">
        <f t="shared" si="19"/>
        <v>5.0000000000000001E-4</v>
      </c>
      <c r="J54" s="53">
        <f t="shared" si="20"/>
        <v>5.0000000000000001E-4</v>
      </c>
      <c r="K54" s="37"/>
      <c r="L54" s="53">
        <f t="shared" si="21"/>
        <v>5.0000000000000001E-4</v>
      </c>
      <c r="M54" s="54">
        <f t="shared" si="22"/>
        <v>0</v>
      </c>
      <c r="N54" s="54"/>
      <c r="O54" s="54">
        <f t="shared" si="23"/>
        <v>0</v>
      </c>
      <c r="P54" s="54">
        <f t="shared" si="24"/>
        <v>0</v>
      </c>
      <c r="Q54" s="89" t="s">
        <v>110</v>
      </c>
    </row>
    <row r="55" spans="1:23" x14ac:dyDescent="0.3">
      <c r="A55" s="1">
        <f t="shared" si="0"/>
        <v>55</v>
      </c>
      <c r="B55" s="31"/>
      <c r="C55" s="44" t="s">
        <v>111</v>
      </c>
      <c r="E55" s="44"/>
      <c r="G55" s="92"/>
      <c r="H55" s="53">
        <v>0.15676999999999999</v>
      </c>
      <c r="I55" s="53">
        <f t="shared" si="19"/>
        <v>0.15676999999999999</v>
      </c>
      <c r="J55" s="53">
        <f t="shared" si="20"/>
        <v>0.15676999999999999</v>
      </c>
      <c r="K55" s="37"/>
      <c r="L55" s="53">
        <f t="shared" si="21"/>
        <v>0.15676999999999999</v>
      </c>
      <c r="M55" s="54">
        <f t="shared" si="22"/>
        <v>0</v>
      </c>
      <c r="N55" s="54"/>
      <c r="O55" s="54">
        <f t="shared" si="23"/>
        <v>0</v>
      </c>
      <c r="P55" s="54">
        <f t="shared" si="24"/>
        <v>0</v>
      </c>
      <c r="Q55" s="89" t="s">
        <v>112</v>
      </c>
    </row>
    <row r="56" spans="1:23" x14ac:dyDescent="0.3">
      <c r="A56" s="1"/>
      <c r="B56" s="31"/>
      <c r="C56" s="44"/>
      <c r="E56" s="44"/>
      <c r="G56" s="92"/>
      <c r="H56" s="92"/>
      <c r="I56" s="92"/>
      <c r="J56" s="94"/>
    </row>
    <row r="57" spans="1:23" x14ac:dyDescent="0.3">
      <c r="A57" s="1"/>
      <c r="B57" s="31"/>
      <c r="C57" s="44" t="s">
        <v>58</v>
      </c>
      <c r="E57" s="44"/>
      <c r="G57" s="142"/>
      <c r="H57" s="88">
        <f>+H28</f>
        <v>15</v>
      </c>
      <c r="I57" s="88">
        <f>+I28</f>
        <v>15</v>
      </c>
      <c r="J57" s="88">
        <f>+J28</f>
        <v>15</v>
      </c>
      <c r="L57" s="88">
        <f>+L28</f>
        <v>15</v>
      </c>
    </row>
    <row r="58" spans="1:23" x14ac:dyDescent="0.3">
      <c r="A58" s="1"/>
      <c r="B58" s="31"/>
      <c r="C58" s="44" t="s">
        <v>122</v>
      </c>
      <c r="E58" s="44"/>
      <c r="G58" s="92"/>
      <c r="H58" s="92">
        <f>SUM(H29:H54)</f>
        <v>9.9150000000000016E-2</v>
      </c>
      <c r="I58" s="92">
        <f>SUM(I29:I54)</f>
        <v>0.11766000000000001</v>
      </c>
      <c r="J58" s="92">
        <f>SUM(J29:J54)</f>
        <v>0.12061000000000001</v>
      </c>
      <c r="L58" s="92">
        <f>SUM(L29:L54)</f>
        <v>0.12041000000000002</v>
      </c>
    </row>
    <row r="59" spans="1:23" x14ac:dyDescent="0.3">
      <c r="A59" s="1"/>
      <c r="C59" s="44" t="s">
        <v>123</v>
      </c>
      <c r="G59" s="92"/>
      <c r="H59" s="92">
        <f>+H55</f>
        <v>0.15676999999999999</v>
      </c>
      <c r="I59" s="92">
        <f>+I55</f>
        <v>0.15676999999999999</v>
      </c>
      <c r="J59" s="92">
        <f>+J55</f>
        <v>0.15676999999999999</v>
      </c>
      <c r="L59" s="92">
        <f>+L55</f>
        <v>0.15676999999999999</v>
      </c>
    </row>
    <row r="60" spans="1:23" x14ac:dyDescent="0.3">
      <c r="F60" s="92"/>
      <c r="G60" s="92"/>
      <c r="H60" s="92"/>
      <c r="I60" s="92"/>
    </row>
    <row r="61" spans="1:23" x14ac:dyDescent="0.3">
      <c r="F61" s="92"/>
      <c r="G61" s="92"/>
      <c r="H61" s="92"/>
      <c r="I61" s="92"/>
    </row>
    <row r="62" spans="1:23" x14ac:dyDescent="0.3">
      <c r="F62" s="92"/>
      <c r="G62" s="92"/>
      <c r="H62" s="92"/>
      <c r="I62" s="92"/>
    </row>
    <row r="63" spans="1:23" x14ac:dyDescent="0.3">
      <c r="F63" s="92"/>
      <c r="G63" s="92"/>
      <c r="H63" s="92"/>
      <c r="I63" s="92"/>
    </row>
    <row r="64" spans="1:23" x14ac:dyDescent="0.3">
      <c r="F64" s="92"/>
      <c r="G64" s="92"/>
      <c r="H64" s="92"/>
      <c r="I64" s="92"/>
    </row>
    <row r="65" spans="6:9" x14ac:dyDescent="0.3">
      <c r="F65" s="92"/>
      <c r="G65" s="92"/>
      <c r="H65" s="92"/>
      <c r="I65" s="92"/>
    </row>
    <row r="66" spans="6:9" x14ac:dyDescent="0.3">
      <c r="F66" s="92"/>
      <c r="G66" s="92"/>
      <c r="H66" s="92"/>
      <c r="I66" s="92"/>
    </row>
    <row r="67" spans="6:9" x14ac:dyDescent="0.3">
      <c r="F67" s="92"/>
      <c r="G67" s="92"/>
      <c r="H67" s="92"/>
      <c r="I67" s="92"/>
    </row>
    <row r="68" spans="6:9" x14ac:dyDescent="0.3">
      <c r="F68" s="92"/>
      <c r="G68" s="92"/>
      <c r="H68" s="92"/>
      <c r="I68" s="92"/>
    </row>
    <row r="69" spans="6:9" x14ac:dyDescent="0.3">
      <c r="F69" s="92"/>
      <c r="G69" s="92"/>
      <c r="H69" s="92"/>
      <c r="I69" s="92"/>
    </row>
    <row r="70" spans="6:9" x14ac:dyDescent="0.3">
      <c r="F70" s="92"/>
      <c r="G70" s="92"/>
      <c r="H70" s="92"/>
      <c r="I70" s="92"/>
    </row>
    <row r="71" spans="6:9" x14ac:dyDescent="0.3">
      <c r="F71" s="92"/>
      <c r="G71" s="92"/>
      <c r="H71" s="92"/>
      <c r="I71" s="92"/>
    </row>
    <row r="72" spans="6:9" x14ac:dyDescent="0.3">
      <c r="F72" s="92"/>
      <c r="G72" s="92"/>
      <c r="H72" s="92"/>
      <c r="I72" s="92"/>
    </row>
    <row r="73" spans="6:9" x14ac:dyDescent="0.3">
      <c r="F73" s="92"/>
      <c r="G73" s="92"/>
      <c r="H73" s="92"/>
      <c r="I73" s="92"/>
    </row>
    <row r="74" spans="6:9" x14ac:dyDescent="0.3">
      <c r="F74" s="92"/>
      <c r="G74" s="92"/>
      <c r="H74" s="92"/>
      <c r="I74" s="92"/>
    </row>
    <row r="75" spans="6:9" x14ac:dyDescent="0.3">
      <c r="F75" s="92"/>
      <c r="G75" s="92"/>
      <c r="H75" s="92"/>
      <c r="I75" s="92"/>
    </row>
    <row r="76" spans="6:9" x14ac:dyDescent="0.3">
      <c r="F76" s="92"/>
      <c r="G76" s="92"/>
      <c r="H76" s="92"/>
      <c r="I76" s="92"/>
    </row>
    <row r="77" spans="6:9" x14ac:dyDescent="0.3">
      <c r="F77" s="92"/>
      <c r="G77" s="92"/>
      <c r="H77" s="92"/>
      <c r="I77" s="92"/>
    </row>
    <row r="78" spans="6:9" x14ac:dyDescent="0.3">
      <c r="F78" s="92"/>
      <c r="G78" s="92"/>
      <c r="H78" s="92"/>
      <c r="I78" s="92"/>
    </row>
    <row r="79" spans="6:9" x14ac:dyDescent="0.3">
      <c r="F79" s="92"/>
      <c r="G79" s="92"/>
      <c r="H79" s="92"/>
      <c r="I79" s="92"/>
    </row>
    <row r="80" spans="6:9" x14ac:dyDescent="0.3">
      <c r="F80" s="92"/>
      <c r="G80" s="92"/>
      <c r="H80" s="92"/>
      <c r="I80" s="92"/>
    </row>
    <row r="81" spans="6:9" x14ac:dyDescent="0.3">
      <c r="F81" s="92"/>
      <c r="G81" s="92"/>
      <c r="H81" s="92"/>
      <c r="I81" s="92"/>
    </row>
    <row r="82" spans="6:9" x14ac:dyDescent="0.3">
      <c r="F82" s="92"/>
      <c r="G82" s="92"/>
      <c r="H82" s="92"/>
      <c r="I82" s="92"/>
    </row>
    <row r="83" spans="6:9" x14ac:dyDescent="0.3">
      <c r="F83" s="92"/>
      <c r="G83" s="92"/>
      <c r="H83" s="92"/>
      <c r="I83" s="92"/>
    </row>
    <row r="84" spans="6:9" x14ac:dyDescent="0.3">
      <c r="F84" s="92"/>
      <c r="G84" s="92"/>
      <c r="H84" s="92"/>
      <c r="I84" s="92"/>
    </row>
    <row r="85" spans="6:9" x14ac:dyDescent="0.3">
      <c r="F85" s="92"/>
      <c r="G85" s="92"/>
      <c r="H85" s="92"/>
      <c r="I85" s="92"/>
    </row>
    <row r="86" spans="6:9" x14ac:dyDescent="0.3">
      <c r="F86" s="92"/>
      <c r="G86" s="92"/>
      <c r="H86" s="92"/>
      <c r="I86" s="92"/>
    </row>
    <row r="87" spans="6:9" x14ac:dyDescent="0.3">
      <c r="F87" s="92"/>
      <c r="G87" s="92"/>
      <c r="H87" s="92"/>
      <c r="I87" s="92"/>
    </row>
    <row r="88" spans="6:9" x14ac:dyDescent="0.3">
      <c r="F88" s="92"/>
      <c r="G88" s="92"/>
      <c r="H88" s="92"/>
      <c r="I88" s="92"/>
    </row>
    <row r="89" spans="6:9" x14ac:dyDescent="0.3">
      <c r="F89" s="92"/>
      <c r="G89" s="92"/>
      <c r="H89" s="92"/>
      <c r="I89" s="92"/>
    </row>
    <row r="90" spans="6:9" x14ac:dyDescent="0.3">
      <c r="F90" s="92"/>
      <c r="G90" s="92"/>
      <c r="H90" s="92"/>
      <c r="I90" s="92"/>
    </row>
    <row r="91" spans="6:9" x14ac:dyDescent="0.3">
      <c r="F91" s="92"/>
      <c r="G91" s="92"/>
      <c r="H91" s="92"/>
      <c r="I91" s="92"/>
    </row>
    <row r="92" spans="6:9" x14ac:dyDescent="0.3">
      <c r="F92" s="92"/>
      <c r="G92" s="92"/>
      <c r="H92" s="92"/>
      <c r="I92" s="92"/>
    </row>
    <row r="93" spans="6:9" x14ac:dyDescent="0.3">
      <c r="F93" s="92"/>
      <c r="G93" s="92"/>
      <c r="H93" s="92"/>
      <c r="I93" s="92"/>
    </row>
    <row r="94" spans="6:9" x14ac:dyDescent="0.3">
      <c r="F94" s="92"/>
      <c r="G94" s="92"/>
      <c r="H94" s="92"/>
      <c r="I94" s="92"/>
    </row>
    <row r="95" spans="6:9" x14ac:dyDescent="0.3">
      <c r="F95" s="92"/>
      <c r="G95" s="92"/>
      <c r="H95" s="92"/>
      <c r="I95" s="92"/>
    </row>
    <row r="96" spans="6:9" x14ac:dyDescent="0.3">
      <c r="F96" s="92"/>
      <c r="G96" s="92"/>
      <c r="H96" s="92"/>
      <c r="I96" s="92"/>
    </row>
    <row r="97" spans="3:22" x14ac:dyDescent="0.3">
      <c r="F97" s="92"/>
      <c r="G97" s="92"/>
      <c r="H97" s="92"/>
      <c r="I97" s="92"/>
    </row>
    <row r="98" spans="3:22" x14ac:dyDescent="0.3">
      <c r="F98" s="92"/>
      <c r="G98" s="92"/>
      <c r="H98" s="92"/>
      <c r="I98" s="92"/>
    </row>
    <row r="99" spans="3:22" x14ac:dyDescent="0.3">
      <c r="F99" s="92"/>
      <c r="G99" s="92"/>
      <c r="H99" s="92"/>
      <c r="I99" s="92"/>
    </row>
    <row r="100" spans="3:22" x14ac:dyDescent="0.3">
      <c r="F100" s="92"/>
      <c r="G100" s="92"/>
      <c r="H100" s="92"/>
      <c r="I100" s="92"/>
    </row>
    <row r="101" spans="3:22" x14ac:dyDescent="0.3">
      <c r="F101" s="92"/>
      <c r="G101" s="92"/>
      <c r="H101" s="92"/>
      <c r="I101" s="92"/>
    </row>
    <row r="102" spans="3:22" x14ac:dyDescent="0.3">
      <c r="F102" s="92"/>
      <c r="G102" s="92"/>
      <c r="H102" s="92"/>
      <c r="I102" s="92"/>
    </row>
    <row r="103" spans="3:22" x14ac:dyDescent="0.3">
      <c r="F103" s="92"/>
      <c r="G103" s="92"/>
      <c r="H103" s="92"/>
      <c r="I103" s="92"/>
    </row>
    <row r="104" spans="3:22" x14ac:dyDescent="0.3">
      <c r="F104" s="92"/>
      <c r="G104" s="92"/>
      <c r="H104" s="92"/>
      <c r="I104" s="92"/>
    </row>
    <row r="105" spans="3:22" x14ac:dyDescent="0.3">
      <c r="F105" s="92"/>
      <c r="G105" s="92"/>
      <c r="H105" s="92"/>
      <c r="I105" s="92"/>
    </row>
    <row r="106" spans="3:22" x14ac:dyDescent="0.3">
      <c r="C106" s="95"/>
      <c r="F106" s="92"/>
      <c r="G106" s="92"/>
      <c r="H106" s="92"/>
      <c r="I106" s="92"/>
    </row>
    <row r="107" spans="3:22" x14ac:dyDescent="0.3">
      <c r="C107" s="145"/>
      <c r="D107" s="146"/>
      <c r="E107" s="146"/>
      <c r="F107" s="146"/>
      <c r="G107" s="147"/>
      <c r="H107" s="146"/>
      <c r="I107" s="146"/>
      <c r="J107" s="146"/>
      <c r="K107" s="147"/>
      <c r="L107" s="146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</row>
    <row r="108" spans="3:22" x14ac:dyDescent="0.3">
      <c r="C108" s="144"/>
      <c r="D108" s="144"/>
      <c r="E108" s="144"/>
      <c r="F108" s="157"/>
      <c r="G108" s="157"/>
      <c r="H108" s="157"/>
      <c r="I108" s="157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</row>
    <row r="109" spans="3:22" x14ac:dyDescent="0.3">
      <c r="C109" s="145"/>
      <c r="D109" s="146"/>
      <c r="E109" s="146"/>
      <c r="F109" s="146"/>
      <c r="G109" s="147"/>
      <c r="H109" s="146"/>
      <c r="I109" s="146"/>
      <c r="J109" s="146"/>
      <c r="K109" s="147"/>
      <c r="L109" s="146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</row>
    <row r="110" spans="3:22" x14ac:dyDescent="0.3">
      <c r="F110" s="92"/>
      <c r="G110" s="92"/>
      <c r="H110" s="92"/>
      <c r="I110" s="92"/>
    </row>
    <row r="111" spans="3:22" x14ac:dyDescent="0.3">
      <c r="F111" s="92"/>
      <c r="G111" s="92"/>
      <c r="H111" s="92"/>
      <c r="I111" s="92"/>
    </row>
    <row r="112" spans="3:22" x14ac:dyDescent="0.3">
      <c r="F112" s="92"/>
      <c r="G112" s="92"/>
      <c r="H112" s="92"/>
      <c r="I112" s="92"/>
    </row>
    <row r="113" spans="6:9" x14ac:dyDescent="0.3">
      <c r="F113" s="92"/>
      <c r="G113" s="92"/>
      <c r="H113" s="92"/>
      <c r="I113" s="92"/>
    </row>
    <row r="114" spans="6:9" x14ac:dyDescent="0.3">
      <c r="F114" s="92"/>
      <c r="G114" s="92"/>
      <c r="H114" s="92"/>
      <c r="I114" s="92"/>
    </row>
    <row r="115" spans="6:9" x14ac:dyDescent="0.3">
      <c r="F115" s="92"/>
      <c r="G115" s="92"/>
      <c r="H115" s="92"/>
      <c r="I115" s="92"/>
    </row>
    <row r="116" spans="6:9" x14ac:dyDescent="0.3">
      <c r="F116" s="92"/>
      <c r="G116" s="92"/>
      <c r="H116" s="92"/>
      <c r="I116" s="92"/>
    </row>
    <row r="117" spans="6:9" x14ac:dyDescent="0.3">
      <c r="F117" s="92"/>
      <c r="G117" s="92"/>
      <c r="H117" s="92"/>
      <c r="I117" s="92"/>
    </row>
    <row r="118" spans="6:9" x14ac:dyDescent="0.3">
      <c r="F118" s="92"/>
      <c r="G118" s="92"/>
      <c r="H118" s="92"/>
      <c r="I118" s="92"/>
    </row>
    <row r="119" spans="6:9" x14ac:dyDescent="0.3">
      <c r="F119" s="92"/>
      <c r="G119" s="92"/>
      <c r="H119" s="92"/>
      <c r="I119" s="92"/>
    </row>
    <row r="120" spans="6:9" x14ac:dyDescent="0.3">
      <c r="F120" s="92"/>
      <c r="G120" s="92"/>
      <c r="H120" s="92"/>
      <c r="I120" s="92"/>
    </row>
  </sheetData>
  <mergeCells count="7">
    <mergeCell ref="Z11:AA11"/>
    <mergeCell ref="D11:F11"/>
    <mergeCell ref="H11:J11"/>
    <mergeCell ref="L11:M11"/>
    <mergeCell ref="O11:Q11"/>
    <mergeCell ref="S11:T11"/>
    <mergeCell ref="V11:X11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DA990-EEB9-4490-B275-DDD57E28F001}">
  <sheetPr>
    <tabColor theme="3" tint="0.59999389629810485"/>
    <pageSetUpPr fitToPage="1"/>
  </sheetPr>
  <dimension ref="A1:AD147"/>
  <sheetViews>
    <sheetView zoomScaleNormal="100" workbookViewId="0"/>
  </sheetViews>
  <sheetFormatPr defaultColWidth="8.7265625" defaultRowHeight="14" x14ac:dyDescent="0.3"/>
  <cols>
    <col min="1" max="1" width="4" style="2" customWidth="1"/>
    <col min="2" max="2" width="4.453125" style="2" bestFit="1" customWidth="1"/>
    <col min="3" max="3" width="12.54296875" style="2" customWidth="1"/>
    <col min="4" max="6" width="11.81640625" style="2" customWidth="1"/>
    <col min="7" max="7" width="1.7265625" style="2" customWidth="1"/>
    <col min="8" max="10" width="11.81640625" style="2" customWidth="1"/>
    <col min="11" max="11" width="1.7265625" style="2" customWidth="1"/>
    <col min="12" max="13" width="11.81640625" style="2" customWidth="1"/>
    <col min="14" max="14" width="2" style="2" customWidth="1"/>
    <col min="15" max="17" width="11.81640625" style="2" customWidth="1"/>
    <col min="18" max="18" width="2" style="2" customWidth="1"/>
    <col min="19" max="20" width="11.81640625" style="2" customWidth="1"/>
    <col min="21" max="21" width="2.1796875" style="2" customWidth="1"/>
    <col min="22" max="24" width="11.81640625" style="2" customWidth="1"/>
    <col min="25" max="25" width="2.1796875" style="2" customWidth="1"/>
    <col min="26" max="27" width="11.81640625" style="2" customWidth="1"/>
    <col min="28" max="29" width="11.81640625" style="2" bestFit="1" customWidth="1"/>
    <col min="30" max="16384" width="8.7265625" style="2"/>
  </cols>
  <sheetData>
    <row r="1" spans="1:30" x14ac:dyDescent="0.3">
      <c r="A1" s="1">
        <v>1</v>
      </c>
    </row>
    <row r="2" spans="1:30" x14ac:dyDescent="0.3">
      <c r="A2" s="1">
        <f>A1+1</f>
        <v>2</v>
      </c>
    </row>
    <row r="3" spans="1:30" x14ac:dyDescent="0.3">
      <c r="A3" s="1">
        <f t="shared" ref="A3:A55" si="0">A2+1</f>
        <v>3</v>
      </c>
      <c r="B3" s="24" t="s">
        <v>40</v>
      </c>
    </row>
    <row r="4" spans="1:30" x14ac:dyDescent="0.3">
      <c r="A4" s="1">
        <f t="shared" si="0"/>
        <v>4</v>
      </c>
      <c r="B4" s="24" t="s">
        <v>41</v>
      </c>
      <c r="C4" s="149"/>
      <c r="D4" s="22"/>
      <c r="E4" s="150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30" x14ac:dyDescent="0.3">
      <c r="A5" s="1">
        <f t="shared" si="0"/>
        <v>5</v>
      </c>
      <c r="B5" s="24"/>
      <c r="C5" s="149"/>
      <c r="D5" s="22"/>
      <c r="E5" s="150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30" x14ac:dyDescent="0.3">
      <c r="A6" s="1">
        <f t="shared" si="0"/>
        <v>6</v>
      </c>
      <c r="B6" s="24" t="s">
        <v>137</v>
      </c>
      <c r="C6" s="149"/>
      <c r="D6" s="22"/>
      <c r="E6" s="150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0" x14ac:dyDescent="0.3">
      <c r="A7" s="1">
        <f t="shared" si="0"/>
        <v>7</v>
      </c>
      <c r="B7" s="24" t="s">
        <v>136</v>
      </c>
      <c r="C7" s="149"/>
      <c r="D7" s="22"/>
      <c r="E7" s="150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0" x14ac:dyDescent="0.3">
      <c r="A8" s="1">
        <f t="shared" si="0"/>
        <v>8</v>
      </c>
      <c r="B8" s="56"/>
      <c r="C8" s="149"/>
      <c r="D8" s="22"/>
      <c r="E8" s="150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0" x14ac:dyDescent="0.3">
      <c r="A9" s="1">
        <f t="shared" si="0"/>
        <v>9</v>
      </c>
      <c r="B9" s="104"/>
      <c r="C9" s="44"/>
      <c r="D9" s="44"/>
      <c r="E9" s="132"/>
      <c r="F9" s="44"/>
    </row>
    <row r="10" spans="1:30" x14ac:dyDescent="0.3">
      <c r="A10" s="1">
        <f t="shared" si="0"/>
        <v>10</v>
      </c>
      <c r="B10" s="31"/>
      <c r="C10" s="44"/>
      <c r="D10" s="44"/>
      <c r="E10" s="132"/>
      <c r="F10" s="44"/>
    </row>
    <row r="11" spans="1:30" x14ac:dyDescent="0.3">
      <c r="A11" s="1">
        <f t="shared" si="0"/>
        <v>11</v>
      </c>
      <c r="B11" s="31"/>
      <c r="C11" s="104" t="s">
        <v>2</v>
      </c>
      <c r="D11" s="32" t="str">
        <f>'EMA R1'!D10</f>
        <v>2024 Monthly Bill</v>
      </c>
      <c r="E11" s="32"/>
      <c r="F11" s="32"/>
      <c r="G11" s="33"/>
      <c r="H11" s="32" t="str">
        <f>'EMA R1'!H10</f>
        <v>2025 Illustrative Monthly Bill</v>
      </c>
      <c r="I11" s="32"/>
      <c r="J11" s="32"/>
      <c r="K11" s="23"/>
      <c r="L11" s="32" t="str">
        <f>'EMA R1'!L10</f>
        <v>2025 vs. 2024</v>
      </c>
      <c r="M11" s="32"/>
      <c r="N11" s="27"/>
      <c r="O11" s="32" t="str">
        <f>'EMA R1'!O10</f>
        <v>2026 Illustrative Monthly Bill</v>
      </c>
      <c r="P11" s="32"/>
      <c r="Q11" s="32"/>
      <c r="R11" s="33"/>
      <c r="S11" s="32" t="str">
        <f>'EMA R1'!S10</f>
        <v>2026 vs. 2025</v>
      </c>
      <c r="T11" s="32"/>
      <c r="U11" s="23"/>
      <c r="V11" s="32" t="str">
        <f>'EMA R1'!V10</f>
        <v>2027 Illustrative Monthly Bill</v>
      </c>
      <c r="W11" s="32"/>
      <c r="X11" s="32"/>
      <c r="Y11" s="33"/>
      <c r="Z11" s="32" t="str">
        <f>'EMA R1'!Z10</f>
        <v>2027 vs. 2026</v>
      </c>
      <c r="AA11" s="32"/>
      <c r="AB11" s="44"/>
      <c r="AC11" s="44"/>
      <c r="AD11" s="44"/>
    </row>
    <row r="12" spans="1:30" x14ac:dyDescent="0.3">
      <c r="A12" s="1">
        <f t="shared" si="0"/>
        <v>12</v>
      </c>
      <c r="B12" s="31"/>
      <c r="C12" s="134" t="s">
        <v>47</v>
      </c>
      <c r="D12" s="34" t="s">
        <v>48</v>
      </c>
      <c r="E12" s="34" t="s">
        <v>49</v>
      </c>
      <c r="F12" s="34" t="s">
        <v>50</v>
      </c>
      <c r="G12" s="34"/>
      <c r="H12" s="34" t="s">
        <v>48</v>
      </c>
      <c r="I12" s="34" t="s">
        <v>49</v>
      </c>
      <c r="J12" s="34" t="s">
        <v>50</v>
      </c>
      <c r="K12" s="23"/>
      <c r="L12" s="34" t="s">
        <v>51</v>
      </c>
      <c r="M12" s="34" t="s">
        <v>14</v>
      </c>
      <c r="N12" s="34"/>
      <c r="O12" s="34" t="s">
        <v>48</v>
      </c>
      <c r="P12" s="34" t="s">
        <v>49</v>
      </c>
      <c r="Q12" s="34" t="s">
        <v>50</v>
      </c>
      <c r="R12" s="34"/>
      <c r="S12" s="34" t="s">
        <v>51</v>
      </c>
      <c r="T12" s="34" t="s">
        <v>14</v>
      </c>
      <c r="U12" s="23"/>
      <c r="V12" s="34" t="s">
        <v>48</v>
      </c>
      <c r="W12" s="34" t="s">
        <v>49</v>
      </c>
      <c r="X12" s="34" t="s">
        <v>50</v>
      </c>
      <c r="Y12" s="34"/>
      <c r="Z12" s="34" t="s">
        <v>51</v>
      </c>
      <c r="AA12" s="34" t="s">
        <v>14</v>
      </c>
      <c r="AB12" s="44"/>
      <c r="AC12" s="44"/>
      <c r="AD12" s="44"/>
    </row>
    <row r="13" spans="1:30" x14ac:dyDescent="0.3">
      <c r="A13" s="1">
        <f t="shared" si="0"/>
        <v>13</v>
      </c>
      <c r="B13" s="31"/>
      <c r="C13" s="105">
        <v>5</v>
      </c>
      <c r="D13" s="135">
        <f t="shared" ref="D13:D23" si="1">ROUND(H$58*$C13+H$57,2)</f>
        <v>15.51</v>
      </c>
      <c r="E13" s="36">
        <f t="shared" ref="E13:E22" si="2">ROUND($H$59*C13,2)</f>
        <v>0.78</v>
      </c>
      <c r="F13" s="36">
        <f>SUM(D13:E13)</f>
        <v>16.29</v>
      </c>
      <c r="G13" s="36"/>
      <c r="H13" s="135">
        <f t="shared" ref="H13:H23" si="3">ROUND(I$58*$C13+I$57,2)</f>
        <v>15.6</v>
      </c>
      <c r="I13" s="36">
        <f t="shared" ref="I13:I22" si="4">ROUND($I$59*C13,2)</f>
        <v>0.78</v>
      </c>
      <c r="J13" s="36">
        <f>SUM(H13:I13)</f>
        <v>16.38</v>
      </c>
      <c r="K13" s="37"/>
      <c r="L13" s="36">
        <f>+J13-F13</f>
        <v>8.9999999999999858E-2</v>
      </c>
      <c r="M13" s="39">
        <f>+L13/F13</f>
        <v>5.5248618784530306E-3</v>
      </c>
      <c r="N13" s="39"/>
      <c r="O13" s="135">
        <f>ROUND(J$58*$C13+J$57,2)</f>
        <v>15.62</v>
      </c>
      <c r="P13" s="36">
        <f>ROUND($J$59*C13,2)</f>
        <v>0.78</v>
      </c>
      <c r="Q13" s="36">
        <f>SUM(O13:P13)</f>
        <v>16.399999999999999</v>
      </c>
      <c r="R13" s="36"/>
      <c r="S13" s="36">
        <f>+Q13-J13</f>
        <v>1.9999999999999574E-2</v>
      </c>
      <c r="T13" s="39">
        <f>+S13/J13</f>
        <v>1.221001221001195E-3</v>
      </c>
      <c r="U13" s="23"/>
      <c r="V13" s="135">
        <f t="shared" ref="V13:V22" si="5">ROUND(L$58*$C13+L$57,2)</f>
        <v>15.62</v>
      </c>
      <c r="W13" s="36">
        <f t="shared" ref="W13:W23" si="6">ROUND($L$59*C13,2)</f>
        <v>0.78</v>
      </c>
      <c r="X13" s="36">
        <f>SUM(V13:W13)</f>
        <v>16.399999999999999</v>
      </c>
      <c r="Y13" s="36"/>
      <c r="Z13" s="36">
        <f>X13-Q13</f>
        <v>0</v>
      </c>
      <c r="AA13" s="39">
        <f>+Z13/Q13</f>
        <v>0</v>
      </c>
      <c r="AB13" s="136"/>
      <c r="AC13" s="136"/>
      <c r="AD13" s="136"/>
    </row>
    <row r="14" spans="1:30" x14ac:dyDescent="0.3">
      <c r="A14" s="1">
        <f t="shared" si="0"/>
        <v>14</v>
      </c>
      <c r="B14" s="31"/>
      <c r="C14" s="105">
        <v>30</v>
      </c>
      <c r="D14" s="135">
        <f t="shared" si="1"/>
        <v>18.07</v>
      </c>
      <c r="E14" s="36">
        <f t="shared" si="2"/>
        <v>4.7</v>
      </c>
      <c r="F14" s="36">
        <f t="shared" ref="F14:F23" si="7">SUM(D14:E14)</f>
        <v>22.77</v>
      </c>
      <c r="G14" s="36"/>
      <c r="H14" s="135">
        <f t="shared" si="3"/>
        <v>18.63</v>
      </c>
      <c r="I14" s="36">
        <f t="shared" si="4"/>
        <v>4.7</v>
      </c>
      <c r="J14" s="36">
        <f t="shared" ref="J14:J23" si="8">SUM(H14:I14)</f>
        <v>23.33</v>
      </c>
      <c r="K14" s="37"/>
      <c r="L14" s="36">
        <f t="shared" ref="L14:L23" si="9">+J14-F14</f>
        <v>0.55999999999999872</v>
      </c>
      <c r="M14" s="39">
        <f t="shared" ref="M14:M23" si="10">+L14/F14</f>
        <v>2.4593763724198452E-2</v>
      </c>
      <c r="N14" s="39"/>
      <c r="O14" s="135">
        <f t="shared" ref="O14:O23" si="11">ROUND(J$58*$C14+J$57,2)</f>
        <v>18.72</v>
      </c>
      <c r="P14" s="36">
        <f t="shared" ref="P14:P23" si="12">ROUND($J$59*C14,2)</f>
        <v>4.7</v>
      </c>
      <c r="Q14" s="36">
        <f t="shared" ref="Q14:Q23" si="13">SUM(O14:P14)</f>
        <v>23.419999999999998</v>
      </c>
      <c r="R14" s="36"/>
      <c r="S14" s="36">
        <f t="shared" ref="S14:S23" si="14">+Q14-J14</f>
        <v>8.9999999999999858E-2</v>
      </c>
      <c r="T14" s="39">
        <f t="shared" ref="T14:T23" si="15">+S14/J14</f>
        <v>3.8576939562794629E-3</v>
      </c>
      <c r="U14" s="23"/>
      <c r="V14" s="135">
        <f t="shared" si="5"/>
        <v>18.71</v>
      </c>
      <c r="W14" s="36">
        <f t="shared" si="6"/>
        <v>4.7</v>
      </c>
      <c r="X14" s="36">
        <f t="shared" ref="X14:X23" si="16">SUM(V14:W14)</f>
        <v>23.41</v>
      </c>
      <c r="Y14" s="36"/>
      <c r="Z14" s="36">
        <f t="shared" ref="Z14:Z23" si="17">X14-Q14</f>
        <v>-9.9999999999980105E-3</v>
      </c>
      <c r="AA14" s="39">
        <f t="shared" ref="AA14:AA23" si="18">+Z14/Q14</f>
        <v>-4.2698548249351032E-4</v>
      </c>
      <c r="AB14" s="136"/>
      <c r="AC14" s="136"/>
      <c r="AD14" s="136"/>
    </row>
    <row r="15" spans="1:30" x14ac:dyDescent="0.3">
      <c r="A15" s="1">
        <f t="shared" si="0"/>
        <v>15</v>
      </c>
      <c r="B15" s="31"/>
      <c r="C15" s="105">
        <v>80</v>
      </c>
      <c r="D15" s="135">
        <f t="shared" si="1"/>
        <v>23.19</v>
      </c>
      <c r="E15" s="36">
        <f t="shared" si="2"/>
        <v>12.54</v>
      </c>
      <c r="F15" s="36">
        <f t="shared" si="7"/>
        <v>35.730000000000004</v>
      </c>
      <c r="G15" s="36"/>
      <c r="H15" s="135">
        <f t="shared" si="3"/>
        <v>24.68</v>
      </c>
      <c r="I15" s="36">
        <f t="shared" si="4"/>
        <v>12.54</v>
      </c>
      <c r="J15" s="36">
        <f t="shared" si="8"/>
        <v>37.22</v>
      </c>
      <c r="K15" s="37"/>
      <c r="L15" s="36">
        <f>+J15-F15</f>
        <v>1.4899999999999949</v>
      </c>
      <c r="M15" s="39">
        <f t="shared" si="10"/>
        <v>4.1701651273439541E-2</v>
      </c>
      <c r="N15" s="39"/>
      <c r="O15" s="135">
        <f>ROUND(J$58*$C15+J$57,2)</f>
        <v>24.91</v>
      </c>
      <c r="P15" s="36">
        <f t="shared" si="12"/>
        <v>12.54</v>
      </c>
      <c r="Q15" s="36">
        <f t="shared" si="13"/>
        <v>37.450000000000003</v>
      </c>
      <c r="R15" s="36"/>
      <c r="S15" s="36">
        <f t="shared" si="14"/>
        <v>0.23000000000000398</v>
      </c>
      <c r="T15" s="39">
        <f t="shared" si="15"/>
        <v>6.1794734013972058E-3</v>
      </c>
      <c r="U15" s="23"/>
      <c r="V15" s="135">
        <f>ROUND(L$58*$C15+L$57,2)</f>
        <v>24.9</v>
      </c>
      <c r="W15" s="36">
        <f t="shared" si="6"/>
        <v>12.54</v>
      </c>
      <c r="X15" s="36">
        <f t="shared" si="16"/>
        <v>37.44</v>
      </c>
      <c r="Y15" s="36"/>
      <c r="Z15" s="36">
        <f t="shared" si="17"/>
        <v>-1.0000000000005116E-2</v>
      </c>
      <c r="AA15" s="39">
        <f t="shared" si="18"/>
        <v>-2.670226969293756E-4</v>
      </c>
      <c r="AB15" s="136"/>
      <c r="AC15" s="136"/>
      <c r="AD15" s="136"/>
    </row>
    <row r="16" spans="1:30" x14ac:dyDescent="0.3">
      <c r="A16" s="1">
        <f t="shared" si="0"/>
        <v>16</v>
      </c>
      <c r="B16" s="31"/>
      <c r="C16" s="105">
        <v>150</v>
      </c>
      <c r="D16" s="135">
        <f t="shared" si="1"/>
        <v>30.36</v>
      </c>
      <c r="E16" s="36">
        <f t="shared" si="2"/>
        <v>23.52</v>
      </c>
      <c r="F16" s="36">
        <f t="shared" si="7"/>
        <v>53.879999999999995</v>
      </c>
      <c r="G16" s="36"/>
      <c r="H16" s="135">
        <f>ROUND(I$58*$C16+I$57,2)</f>
        <v>33.14</v>
      </c>
      <c r="I16" s="36">
        <f t="shared" si="4"/>
        <v>23.52</v>
      </c>
      <c r="J16" s="36">
        <f t="shared" si="8"/>
        <v>56.66</v>
      </c>
      <c r="K16" s="37"/>
      <c r="L16" s="36">
        <f t="shared" si="9"/>
        <v>2.7800000000000011</v>
      </c>
      <c r="M16" s="39">
        <f t="shared" si="10"/>
        <v>5.1596139569413536E-2</v>
      </c>
      <c r="N16" s="39"/>
      <c r="O16" s="135">
        <f t="shared" si="11"/>
        <v>33.58</v>
      </c>
      <c r="P16" s="36">
        <f t="shared" si="12"/>
        <v>23.52</v>
      </c>
      <c r="Q16" s="36">
        <f t="shared" si="13"/>
        <v>57.099999999999994</v>
      </c>
      <c r="R16" s="36"/>
      <c r="S16" s="36">
        <f t="shared" si="14"/>
        <v>0.43999999999999773</v>
      </c>
      <c r="T16" s="39">
        <f t="shared" si="15"/>
        <v>7.7656194846452125E-3</v>
      </c>
      <c r="U16" s="23"/>
      <c r="V16" s="135">
        <f t="shared" si="5"/>
        <v>33.549999999999997</v>
      </c>
      <c r="W16" s="36">
        <f t="shared" si="6"/>
        <v>23.52</v>
      </c>
      <c r="X16" s="36">
        <f t="shared" si="16"/>
        <v>57.069999999999993</v>
      </c>
      <c r="Y16" s="36"/>
      <c r="Z16" s="36">
        <f t="shared" si="17"/>
        <v>-3.0000000000001137E-2</v>
      </c>
      <c r="AA16" s="39">
        <f t="shared" si="18"/>
        <v>-5.2539404553417061E-4</v>
      </c>
      <c r="AB16" s="136"/>
      <c r="AC16" s="136"/>
      <c r="AD16" s="136"/>
    </row>
    <row r="17" spans="1:30" x14ac:dyDescent="0.3">
      <c r="A17" s="1">
        <f t="shared" si="0"/>
        <v>17</v>
      </c>
      <c r="B17" s="31"/>
      <c r="C17" s="105">
        <v>275</v>
      </c>
      <c r="D17" s="135">
        <f>ROUND(H$58*$C17+H$57,2)</f>
        <v>43.17</v>
      </c>
      <c r="E17" s="36">
        <f t="shared" si="2"/>
        <v>43.11</v>
      </c>
      <c r="F17" s="36">
        <f t="shared" si="7"/>
        <v>86.28</v>
      </c>
      <c r="G17" s="36"/>
      <c r="H17" s="135">
        <f t="shared" si="3"/>
        <v>48.26</v>
      </c>
      <c r="I17" s="36">
        <f t="shared" si="4"/>
        <v>43.11</v>
      </c>
      <c r="J17" s="36">
        <f t="shared" si="8"/>
        <v>91.37</v>
      </c>
      <c r="K17" s="37"/>
      <c r="L17" s="36">
        <f t="shared" si="9"/>
        <v>5.0900000000000034</v>
      </c>
      <c r="M17" s="39">
        <f t="shared" si="10"/>
        <v>5.8993973110802081E-2</v>
      </c>
      <c r="N17" s="39"/>
      <c r="O17" s="135">
        <f t="shared" si="11"/>
        <v>49.07</v>
      </c>
      <c r="P17" s="36">
        <f t="shared" si="12"/>
        <v>43.11</v>
      </c>
      <c r="Q17" s="36">
        <f t="shared" si="13"/>
        <v>92.18</v>
      </c>
      <c r="R17" s="36"/>
      <c r="S17" s="36">
        <f t="shared" si="14"/>
        <v>0.81000000000000227</v>
      </c>
      <c r="T17" s="39">
        <f t="shared" si="15"/>
        <v>8.8650541753310958E-3</v>
      </c>
      <c r="U17" s="23"/>
      <c r="V17" s="135">
        <f t="shared" si="5"/>
        <v>49.01</v>
      </c>
      <c r="W17" s="36">
        <f t="shared" si="6"/>
        <v>43.11</v>
      </c>
      <c r="X17" s="36">
        <f t="shared" si="16"/>
        <v>92.12</v>
      </c>
      <c r="Y17" s="36"/>
      <c r="Z17" s="36">
        <f t="shared" si="17"/>
        <v>-6.0000000000002274E-2</v>
      </c>
      <c r="AA17" s="39">
        <f t="shared" si="18"/>
        <v>-6.5090041223695241E-4</v>
      </c>
      <c r="AB17" s="136"/>
      <c r="AC17" s="136"/>
      <c r="AD17" s="136"/>
    </row>
    <row r="18" spans="1:30" x14ac:dyDescent="0.3">
      <c r="A18" s="1">
        <f t="shared" si="0"/>
        <v>18</v>
      </c>
      <c r="B18" s="31"/>
      <c r="C18" s="105">
        <v>500</v>
      </c>
      <c r="D18" s="135">
        <f t="shared" si="1"/>
        <v>66.22</v>
      </c>
      <c r="E18" s="36">
        <f t="shared" si="2"/>
        <v>78.39</v>
      </c>
      <c r="F18" s="36">
        <f t="shared" si="7"/>
        <v>144.61000000000001</v>
      </c>
      <c r="G18" s="36"/>
      <c r="H18" s="135">
        <f t="shared" si="3"/>
        <v>75.47</v>
      </c>
      <c r="I18" s="36">
        <f t="shared" si="4"/>
        <v>78.39</v>
      </c>
      <c r="J18" s="36">
        <f t="shared" si="8"/>
        <v>153.86000000000001</v>
      </c>
      <c r="K18" s="37"/>
      <c r="L18" s="36">
        <f t="shared" si="9"/>
        <v>9.25</v>
      </c>
      <c r="M18" s="39">
        <f t="shared" si="10"/>
        <v>6.3965147638475897E-2</v>
      </c>
      <c r="N18" s="39"/>
      <c r="O18" s="135">
        <f t="shared" si="11"/>
        <v>76.95</v>
      </c>
      <c r="P18" s="36">
        <f t="shared" si="12"/>
        <v>78.39</v>
      </c>
      <c r="Q18" s="36">
        <f t="shared" si="13"/>
        <v>155.34</v>
      </c>
      <c r="R18" s="36"/>
      <c r="S18" s="36">
        <f t="shared" si="14"/>
        <v>1.4799999999999898</v>
      </c>
      <c r="T18" s="39">
        <f t="shared" si="15"/>
        <v>9.6191342779149199E-3</v>
      </c>
      <c r="U18" s="23"/>
      <c r="V18" s="135">
        <f t="shared" si="5"/>
        <v>76.849999999999994</v>
      </c>
      <c r="W18" s="36">
        <f t="shared" si="6"/>
        <v>78.39</v>
      </c>
      <c r="X18" s="36">
        <f t="shared" si="16"/>
        <v>155.24</v>
      </c>
      <c r="Y18" s="36"/>
      <c r="Z18" s="36">
        <f t="shared" si="17"/>
        <v>-9.9999999999994316E-2</v>
      </c>
      <c r="AA18" s="39">
        <f t="shared" si="18"/>
        <v>-6.4374919531346927E-4</v>
      </c>
      <c r="AB18" s="136"/>
      <c r="AC18" s="136"/>
      <c r="AD18" s="136"/>
    </row>
    <row r="19" spans="1:30" x14ac:dyDescent="0.3">
      <c r="A19" s="1">
        <f t="shared" si="0"/>
        <v>19</v>
      </c>
      <c r="B19" s="31"/>
      <c r="C19" s="105">
        <v>750</v>
      </c>
      <c r="D19" s="135">
        <f t="shared" si="1"/>
        <v>91.82</v>
      </c>
      <c r="E19" s="36">
        <f t="shared" si="2"/>
        <v>117.58</v>
      </c>
      <c r="F19" s="36">
        <f t="shared" si="7"/>
        <v>209.39999999999998</v>
      </c>
      <c r="G19" s="36"/>
      <c r="H19" s="135">
        <f t="shared" si="3"/>
        <v>105.71</v>
      </c>
      <c r="I19" s="36">
        <f>ROUND($I$59*C19,2)</f>
        <v>117.58</v>
      </c>
      <c r="J19" s="36">
        <f t="shared" si="8"/>
        <v>223.29</v>
      </c>
      <c r="K19" s="37"/>
      <c r="L19" s="36">
        <f t="shared" si="9"/>
        <v>13.890000000000015</v>
      </c>
      <c r="M19" s="39">
        <f t="shared" si="10"/>
        <v>6.6332378223495775E-2</v>
      </c>
      <c r="N19" s="39"/>
      <c r="O19" s="135">
        <f t="shared" si="11"/>
        <v>107.92</v>
      </c>
      <c r="P19" s="36">
        <f>ROUND($J$59*C19,2)</f>
        <v>117.58</v>
      </c>
      <c r="Q19" s="36">
        <f t="shared" si="13"/>
        <v>225.5</v>
      </c>
      <c r="R19" s="36"/>
      <c r="S19" s="36">
        <f t="shared" si="14"/>
        <v>2.210000000000008</v>
      </c>
      <c r="T19" s="39">
        <f t="shared" si="15"/>
        <v>9.8974427874065473E-3</v>
      </c>
      <c r="U19" s="23"/>
      <c r="V19" s="135">
        <f t="shared" si="5"/>
        <v>107.77</v>
      </c>
      <c r="W19" s="36">
        <f>ROUND($L$59*C19,2)</f>
        <v>117.58</v>
      </c>
      <c r="X19" s="36">
        <f t="shared" si="16"/>
        <v>225.35</v>
      </c>
      <c r="Y19" s="36"/>
      <c r="Z19" s="36">
        <f t="shared" si="17"/>
        <v>-0.15000000000000568</v>
      </c>
      <c r="AA19" s="39">
        <f t="shared" si="18"/>
        <v>-6.6518847006654411E-4</v>
      </c>
      <c r="AB19" s="136"/>
      <c r="AC19" s="136"/>
      <c r="AD19" s="136"/>
    </row>
    <row r="20" spans="1:30" x14ac:dyDescent="0.3">
      <c r="A20" s="1">
        <f t="shared" si="0"/>
        <v>20</v>
      </c>
      <c r="B20" s="31"/>
      <c r="C20" s="105">
        <v>1250</v>
      </c>
      <c r="D20" s="135">
        <f t="shared" si="1"/>
        <v>143.04</v>
      </c>
      <c r="E20" s="36">
        <f>ROUND($H$59*C20,2)</f>
        <v>195.96</v>
      </c>
      <c r="F20" s="36">
        <f t="shared" si="7"/>
        <v>339</v>
      </c>
      <c r="G20" s="36"/>
      <c r="H20" s="135">
        <f t="shared" si="3"/>
        <v>166.18</v>
      </c>
      <c r="I20" s="36">
        <f t="shared" si="4"/>
        <v>195.96</v>
      </c>
      <c r="J20" s="36">
        <f t="shared" si="8"/>
        <v>362.14</v>
      </c>
      <c r="K20" s="37"/>
      <c r="L20" s="36">
        <f t="shared" si="9"/>
        <v>23.139999999999986</v>
      </c>
      <c r="M20" s="39">
        <f t="shared" si="10"/>
        <v>6.8259587020648924E-2</v>
      </c>
      <c r="N20" s="39"/>
      <c r="O20" s="135">
        <f t="shared" si="11"/>
        <v>169.86</v>
      </c>
      <c r="P20" s="36">
        <f t="shared" si="12"/>
        <v>195.96</v>
      </c>
      <c r="Q20" s="36">
        <f t="shared" si="13"/>
        <v>365.82000000000005</v>
      </c>
      <c r="R20" s="36"/>
      <c r="S20" s="36">
        <f t="shared" si="14"/>
        <v>3.6800000000000637</v>
      </c>
      <c r="T20" s="39">
        <f t="shared" si="15"/>
        <v>1.0161815872314751E-2</v>
      </c>
      <c r="U20" s="23"/>
      <c r="V20" s="135">
        <f t="shared" si="5"/>
        <v>169.61</v>
      </c>
      <c r="W20" s="36">
        <f t="shared" si="6"/>
        <v>195.96</v>
      </c>
      <c r="X20" s="36">
        <f t="shared" si="16"/>
        <v>365.57000000000005</v>
      </c>
      <c r="Y20" s="36"/>
      <c r="Z20" s="36">
        <f t="shared" si="17"/>
        <v>-0.25</v>
      </c>
      <c r="AA20" s="39">
        <f t="shared" si="18"/>
        <v>-6.8339620578426535E-4</v>
      </c>
    </row>
    <row r="21" spans="1:30" x14ac:dyDescent="0.3">
      <c r="A21" s="1">
        <f t="shared" si="0"/>
        <v>21</v>
      </c>
      <c r="B21" s="31"/>
      <c r="C21" s="105">
        <v>2500</v>
      </c>
      <c r="D21" s="135">
        <f t="shared" si="1"/>
        <v>271.08</v>
      </c>
      <c r="E21" s="36">
        <f t="shared" si="2"/>
        <v>391.93</v>
      </c>
      <c r="F21" s="36">
        <f t="shared" si="7"/>
        <v>663.01</v>
      </c>
      <c r="G21" s="36"/>
      <c r="H21" s="135">
        <f t="shared" si="3"/>
        <v>317.35000000000002</v>
      </c>
      <c r="I21" s="36">
        <f t="shared" si="4"/>
        <v>391.93</v>
      </c>
      <c r="J21" s="36">
        <f t="shared" si="8"/>
        <v>709.28</v>
      </c>
      <c r="K21" s="37"/>
      <c r="L21" s="36">
        <f t="shared" si="9"/>
        <v>46.269999999999982</v>
      </c>
      <c r="M21" s="39">
        <f t="shared" si="10"/>
        <v>6.9787786006244218E-2</v>
      </c>
      <c r="N21" s="39"/>
      <c r="O21" s="135">
        <f t="shared" si="11"/>
        <v>324.73</v>
      </c>
      <c r="P21" s="36">
        <f t="shared" si="12"/>
        <v>391.93</v>
      </c>
      <c r="Q21" s="36">
        <f t="shared" si="13"/>
        <v>716.66000000000008</v>
      </c>
      <c r="R21" s="36"/>
      <c r="S21" s="36">
        <f t="shared" si="14"/>
        <v>7.3800000000001091</v>
      </c>
      <c r="T21" s="39">
        <f t="shared" si="15"/>
        <v>1.0404917662982334E-2</v>
      </c>
      <c r="U21" s="23"/>
      <c r="V21" s="135">
        <f t="shared" si="5"/>
        <v>324.23</v>
      </c>
      <c r="W21" s="36">
        <f t="shared" si="6"/>
        <v>391.93</v>
      </c>
      <c r="X21" s="36">
        <f t="shared" si="16"/>
        <v>716.16000000000008</v>
      </c>
      <c r="Y21" s="36"/>
      <c r="Z21" s="36">
        <f t="shared" si="17"/>
        <v>-0.5</v>
      </c>
      <c r="AA21" s="39">
        <f t="shared" si="18"/>
        <v>-6.9768090865961533E-4</v>
      </c>
    </row>
    <row r="22" spans="1:30" x14ac:dyDescent="0.3">
      <c r="A22" s="1">
        <f t="shared" si="0"/>
        <v>22</v>
      </c>
      <c r="B22" s="31"/>
      <c r="C22" s="105">
        <v>10000</v>
      </c>
      <c r="D22" s="135">
        <f t="shared" si="1"/>
        <v>1039.3</v>
      </c>
      <c r="E22" s="36">
        <f t="shared" si="2"/>
        <v>1567.7</v>
      </c>
      <c r="F22" s="36">
        <f t="shared" si="7"/>
        <v>2607</v>
      </c>
      <c r="G22" s="36"/>
      <c r="H22" s="135">
        <f>ROUND(I$58*$C22+I$57,2)</f>
        <v>1224.4000000000001</v>
      </c>
      <c r="I22" s="36">
        <f t="shared" si="4"/>
        <v>1567.7</v>
      </c>
      <c r="J22" s="36">
        <f t="shared" si="8"/>
        <v>2792.1000000000004</v>
      </c>
      <c r="K22" s="37"/>
      <c r="L22" s="36">
        <f t="shared" si="9"/>
        <v>185.10000000000036</v>
      </c>
      <c r="M22" s="39">
        <f t="shared" si="10"/>
        <v>7.1001150747986325E-2</v>
      </c>
      <c r="N22" s="39"/>
      <c r="O22" s="135">
        <f t="shared" si="11"/>
        <v>1253.9000000000001</v>
      </c>
      <c r="P22" s="36">
        <f t="shared" si="12"/>
        <v>1567.7</v>
      </c>
      <c r="Q22" s="36">
        <f t="shared" si="13"/>
        <v>2821.6000000000004</v>
      </c>
      <c r="R22" s="36"/>
      <c r="S22" s="36">
        <f t="shared" si="14"/>
        <v>29.5</v>
      </c>
      <c r="T22" s="39">
        <f t="shared" si="15"/>
        <v>1.0565524157444215E-2</v>
      </c>
      <c r="U22" s="23"/>
      <c r="V22" s="135">
        <f t="shared" si="5"/>
        <v>1251.9000000000001</v>
      </c>
      <c r="W22" s="36">
        <f t="shared" si="6"/>
        <v>1567.7</v>
      </c>
      <c r="X22" s="36">
        <f t="shared" si="16"/>
        <v>2819.6000000000004</v>
      </c>
      <c r="Y22" s="36"/>
      <c r="Z22" s="36">
        <f t="shared" si="17"/>
        <v>-2</v>
      </c>
      <c r="AA22" s="39">
        <f t="shared" si="18"/>
        <v>-7.0881769208959444E-4</v>
      </c>
      <c r="AB22" s="136"/>
      <c r="AC22" s="136"/>
      <c r="AD22" s="136"/>
    </row>
    <row r="23" spans="1:30" x14ac:dyDescent="0.3">
      <c r="A23" s="1">
        <f t="shared" si="0"/>
        <v>23</v>
      </c>
      <c r="B23" s="31" t="s">
        <v>52</v>
      </c>
      <c r="C23" s="105">
        <v>1650</v>
      </c>
      <c r="D23" s="135">
        <f t="shared" si="1"/>
        <v>184.01</v>
      </c>
      <c r="E23" s="36">
        <f>ROUND($H$59*C23,2)</f>
        <v>258.67</v>
      </c>
      <c r="F23" s="135">
        <f t="shared" si="7"/>
        <v>442.68</v>
      </c>
      <c r="G23" s="136"/>
      <c r="H23" s="135">
        <f t="shared" si="3"/>
        <v>214.55</v>
      </c>
      <c r="I23" s="36">
        <f>ROUND($I$59*C23,2)</f>
        <v>258.67</v>
      </c>
      <c r="J23" s="135">
        <f t="shared" si="8"/>
        <v>473.22</v>
      </c>
      <c r="K23" s="136"/>
      <c r="L23" s="135">
        <f t="shared" si="9"/>
        <v>30.54000000000002</v>
      </c>
      <c r="M23" s="137">
        <f t="shared" si="10"/>
        <v>6.8988885876931458E-2</v>
      </c>
      <c r="N23" s="137"/>
      <c r="O23" s="135">
        <f t="shared" si="11"/>
        <v>219.42</v>
      </c>
      <c r="P23" s="36">
        <f t="shared" si="12"/>
        <v>258.67</v>
      </c>
      <c r="Q23" s="135">
        <f t="shared" si="13"/>
        <v>478.09000000000003</v>
      </c>
      <c r="R23" s="137"/>
      <c r="S23" s="36">
        <f t="shared" si="14"/>
        <v>4.8700000000000045</v>
      </c>
      <c r="T23" s="39">
        <f t="shared" si="15"/>
        <v>1.0291196483665112E-2</v>
      </c>
      <c r="U23" s="137"/>
      <c r="V23" s="135">
        <f>ROUND(L$58*$C23+L$57,2)</f>
        <v>219.09</v>
      </c>
      <c r="W23" s="36">
        <f t="shared" si="6"/>
        <v>258.67</v>
      </c>
      <c r="X23" s="135">
        <f t="shared" si="16"/>
        <v>477.76</v>
      </c>
      <c r="Y23" s="138"/>
      <c r="Z23" s="36">
        <f t="shared" si="17"/>
        <v>-0.33000000000004093</v>
      </c>
      <c r="AA23" s="39">
        <f t="shared" si="18"/>
        <v>-6.9024660628760469E-4</v>
      </c>
      <c r="AB23" s="136"/>
      <c r="AC23" s="136"/>
      <c r="AD23" s="136"/>
    </row>
    <row r="24" spans="1:30" x14ac:dyDescent="0.3">
      <c r="A24" s="1">
        <f t="shared" si="0"/>
        <v>24</v>
      </c>
      <c r="B24" s="31"/>
      <c r="C24" s="158"/>
      <c r="D24" s="153"/>
      <c r="E24" s="153"/>
      <c r="F24" s="153"/>
      <c r="G24" s="159"/>
      <c r="H24" s="153"/>
      <c r="I24" s="153"/>
      <c r="J24" s="153"/>
      <c r="K24" s="159"/>
      <c r="L24" s="153"/>
      <c r="M24" s="160"/>
      <c r="N24" s="160"/>
      <c r="O24" s="160"/>
      <c r="P24" s="160"/>
      <c r="Q24" s="160"/>
      <c r="R24" s="160"/>
      <c r="S24" s="160"/>
      <c r="T24" s="160"/>
      <c r="U24" s="160"/>
      <c r="V24" s="160"/>
    </row>
    <row r="25" spans="1:30" x14ac:dyDescent="0.3">
      <c r="A25" s="1">
        <f t="shared" si="0"/>
        <v>25</v>
      </c>
      <c r="B25" s="31"/>
      <c r="C25" s="135"/>
      <c r="D25" s="135"/>
      <c r="E25" s="135"/>
      <c r="F25" s="136"/>
      <c r="G25" s="136"/>
      <c r="H25" s="136"/>
      <c r="I25" s="136"/>
      <c r="J25" s="136"/>
      <c r="K25" s="136"/>
      <c r="L25" s="136"/>
    </row>
    <row r="26" spans="1:30" x14ac:dyDescent="0.3">
      <c r="A26" s="1">
        <f t="shared" si="0"/>
        <v>26</v>
      </c>
      <c r="B26" s="31"/>
      <c r="C26" s="44"/>
      <c r="D26" s="136"/>
      <c r="E26" s="136"/>
      <c r="G26" s="83"/>
      <c r="H26" s="45">
        <f>'EMA R1'!H28</f>
        <v>2024</v>
      </c>
      <c r="I26" s="45">
        <f>'EMA R1'!I28</f>
        <v>2025</v>
      </c>
      <c r="J26" s="45">
        <f>'EMA R1'!J28</f>
        <v>2026</v>
      </c>
      <c r="K26" s="45">
        <f>'EMA R1'!K28</f>
        <v>0</v>
      </c>
      <c r="L26" s="45">
        <f>'EMA R1'!L28</f>
        <v>2027</v>
      </c>
      <c r="M26" s="45" t="str">
        <f>'EMA R1'!M28</f>
        <v>2025 v 2024</v>
      </c>
      <c r="N26" s="45"/>
      <c r="O26" s="45" t="str">
        <f>'EMA R1'!O28</f>
        <v>2026 v 2025</v>
      </c>
      <c r="P26" s="45" t="str">
        <f>'EMA R1'!P28</f>
        <v>2027 v 2026</v>
      </c>
    </row>
    <row r="27" spans="1:30" ht="15.5" x14ac:dyDescent="0.45">
      <c r="A27" s="1">
        <f t="shared" si="0"/>
        <v>27</v>
      </c>
      <c r="B27" s="31"/>
      <c r="C27" s="44"/>
      <c r="D27" s="136"/>
      <c r="E27" s="136"/>
      <c r="G27" s="85"/>
      <c r="H27" s="47" t="str">
        <f>+'BOS G1ND'!H27</f>
        <v>Rates</v>
      </c>
      <c r="I27" s="47" t="s">
        <v>57</v>
      </c>
      <c r="J27" s="47" t="s">
        <v>57</v>
      </c>
      <c r="K27" s="37"/>
      <c r="L27" s="47" t="s">
        <v>57</v>
      </c>
      <c r="M27" s="48" t="s">
        <v>51</v>
      </c>
      <c r="N27" s="22"/>
      <c r="O27" s="48" t="s">
        <v>51</v>
      </c>
      <c r="P27" s="48" t="s">
        <v>51</v>
      </c>
    </row>
    <row r="28" spans="1:30" x14ac:dyDescent="0.3">
      <c r="A28" s="1">
        <f t="shared" si="0"/>
        <v>28</v>
      </c>
      <c r="B28" s="31"/>
      <c r="C28" s="44" t="s">
        <v>58</v>
      </c>
      <c r="H28" s="88">
        <v>15</v>
      </c>
      <c r="I28" s="49">
        <f t="shared" ref="I28:I55" si="19">+H28</f>
        <v>15</v>
      </c>
      <c r="J28" s="49">
        <f t="shared" ref="J28:J55" si="20">H28</f>
        <v>15</v>
      </c>
      <c r="K28" s="37"/>
      <c r="L28" s="49">
        <f t="shared" ref="L28:L55" si="21">H28</f>
        <v>15</v>
      </c>
      <c r="M28" s="50">
        <f t="shared" ref="M28:M55" si="22">+I28-H28</f>
        <v>0</v>
      </c>
      <c r="N28" s="50"/>
      <c r="O28" s="50">
        <f t="shared" ref="O28:O55" si="23">+J28-I28</f>
        <v>0</v>
      </c>
      <c r="P28" s="50">
        <f t="shared" ref="P28:P55" si="24">+L28-J28</f>
        <v>0</v>
      </c>
      <c r="Q28" s="51" t="s">
        <v>59</v>
      </c>
      <c r="R28" s="51"/>
      <c r="S28" s="51"/>
      <c r="T28" s="51"/>
      <c r="U28" s="51"/>
      <c r="V28" s="51"/>
    </row>
    <row r="29" spans="1:30" x14ac:dyDescent="0.3">
      <c r="A29" s="1">
        <f t="shared" si="0"/>
        <v>29</v>
      </c>
      <c r="B29" s="31"/>
      <c r="C29" s="44" t="s">
        <v>60</v>
      </c>
      <c r="H29" s="91">
        <v>3.7589999999999998E-2</v>
      </c>
      <c r="I29" s="53">
        <f t="shared" si="19"/>
        <v>3.7589999999999998E-2</v>
      </c>
      <c r="J29" s="53">
        <f t="shared" si="20"/>
        <v>3.7589999999999998E-2</v>
      </c>
      <c r="K29" s="37"/>
      <c r="L29" s="53">
        <f t="shared" si="21"/>
        <v>3.7589999999999998E-2</v>
      </c>
      <c r="M29" s="54">
        <f t="shared" si="22"/>
        <v>0</v>
      </c>
      <c r="N29" s="54"/>
      <c r="O29" s="54">
        <f t="shared" si="23"/>
        <v>0</v>
      </c>
      <c r="P29" s="54">
        <f t="shared" si="24"/>
        <v>0</v>
      </c>
      <c r="Q29" s="51" t="s">
        <v>59</v>
      </c>
      <c r="R29" s="51"/>
      <c r="S29" s="51"/>
      <c r="T29" s="51"/>
      <c r="U29" s="51"/>
      <c r="V29" s="51"/>
    </row>
    <row r="30" spans="1:30" x14ac:dyDescent="0.3">
      <c r="A30" s="1">
        <f t="shared" si="0"/>
        <v>30</v>
      </c>
      <c r="B30" s="31"/>
      <c r="C30" s="44" t="str">
        <f>+'BOS G1ND'!C30</f>
        <v>Exogenous Cost Adjustment</v>
      </c>
      <c r="H30" s="91">
        <v>7.5000000000000002E-4</v>
      </c>
      <c r="I30" s="53">
        <f t="shared" si="19"/>
        <v>7.5000000000000002E-4</v>
      </c>
      <c r="J30" s="53">
        <f t="shared" si="20"/>
        <v>7.5000000000000002E-4</v>
      </c>
      <c r="K30" s="37"/>
      <c r="L30" s="53">
        <f t="shared" si="21"/>
        <v>7.5000000000000002E-4</v>
      </c>
      <c r="M30" s="54">
        <f t="shared" si="22"/>
        <v>0</v>
      </c>
      <c r="N30" s="54"/>
      <c r="O30" s="54">
        <f t="shared" si="23"/>
        <v>0</v>
      </c>
      <c r="P30" s="54">
        <f t="shared" si="24"/>
        <v>0</v>
      </c>
      <c r="Q30" s="51" t="str">
        <f>+'BOS G1ND'!Q30</f>
        <v>ECA</v>
      </c>
      <c r="R30" s="51"/>
      <c r="S30" s="51"/>
      <c r="T30" s="51"/>
      <c r="U30" s="51"/>
      <c r="V30" s="51"/>
    </row>
    <row r="31" spans="1:30" x14ac:dyDescent="0.3">
      <c r="A31" s="1">
        <f t="shared" si="0"/>
        <v>31</v>
      </c>
      <c r="B31" s="31"/>
      <c r="C31" s="44" t="str">
        <f>+'BOS G1ND'!C31</f>
        <v>Revenue Decoupling</v>
      </c>
      <c r="H31" s="91">
        <v>4.0000000000000003E-5</v>
      </c>
      <c r="I31" s="53">
        <f t="shared" si="19"/>
        <v>4.0000000000000003E-5</v>
      </c>
      <c r="J31" s="53">
        <f t="shared" si="20"/>
        <v>4.0000000000000003E-5</v>
      </c>
      <c r="K31" s="37"/>
      <c r="L31" s="53">
        <f t="shared" si="21"/>
        <v>4.0000000000000003E-5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51" t="str">
        <f>+'BOS G1ND'!Q31</f>
        <v>RDAF</v>
      </c>
      <c r="R31" s="51"/>
      <c r="S31" s="51"/>
      <c r="T31" s="51"/>
      <c r="U31" s="51"/>
      <c r="V31" s="51"/>
    </row>
    <row r="32" spans="1:30" x14ac:dyDescent="0.3">
      <c r="A32" s="1">
        <f t="shared" si="0"/>
        <v>32</v>
      </c>
      <c r="B32" s="31"/>
      <c r="C32" s="44" t="str">
        <f>+'BOS G1ND'!C32</f>
        <v>Distributed Solar Charge</v>
      </c>
      <c r="H32" s="91">
        <v>5.8999999999999999E-3</v>
      </c>
      <c r="I32" s="53">
        <f t="shared" si="19"/>
        <v>5.8999999999999999E-3</v>
      </c>
      <c r="J32" s="53">
        <f t="shared" si="20"/>
        <v>5.8999999999999999E-3</v>
      </c>
      <c r="K32" s="37"/>
      <c r="L32" s="53">
        <f t="shared" si="21"/>
        <v>5.8999999999999999E-3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51" t="str">
        <f>+'BOS G1ND'!Q32</f>
        <v>SMART</v>
      </c>
      <c r="R32" s="51"/>
      <c r="S32" s="51"/>
      <c r="T32" s="51"/>
      <c r="U32" s="51"/>
      <c r="V32" s="51"/>
    </row>
    <row r="33" spans="1:22" x14ac:dyDescent="0.3">
      <c r="A33" s="1">
        <f t="shared" si="0"/>
        <v>33</v>
      </c>
      <c r="B33" s="31"/>
      <c r="C33" s="44" t="str">
        <f>+'BOS G1ND'!C33</f>
        <v>Residential Assistance Adjustment Factor</v>
      </c>
      <c r="H33" s="53">
        <v>6.0200000000000002E-3</v>
      </c>
      <c r="I33" s="53">
        <f t="shared" si="19"/>
        <v>6.0200000000000002E-3</v>
      </c>
      <c r="J33" s="53">
        <f t="shared" si="20"/>
        <v>6.0200000000000002E-3</v>
      </c>
      <c r="K33" s="37"/>
      <c r="L33" s="53">
        <f t="shared" si="21"/>
        <v>6.0200000000000002E-3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51" t="str">
        <f>+'BOS G1ND'!Q33</f>
        <v>RAAF</v>
      </c>
      <c r="R33" s="51"/>
      <c r="S33" s="51"/>
      <c r="T33" s="51"/>
      <c r="U33" s="51"/>
      <c r="V33" s="51"/>
    </row>
    <row r="34" spans="1:22" x14ac:dyDescent="0.3">
      <c r="A34" s="1">
        <f t="shared" si="0"/>
        <v>34</v>
      </c>
      <c r="B34" s="31"/>
      <c r="C34" s="44" t="str">
        <f>+'BOS G1ND'!C34</f>
        <v>Pension Adjustment Factor</v>
      </c>
      <c r="H34" s="53">
        <v>5.8E-4</v>
      </c>
      <c r="I34" s="53">
        <f t="shared" si="19"/>
        <v>5.8E-4</v>
      </c>
      <c r="J34" s="53">
        <f t="shared" si="20"/>
        <v>5.8E-4</v>
      </c>
      <c r="K34" s="37"/>
      <c r="L34" s="53">
        <f t="shared" si="21"/>
        <v>5.8E-4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51" t="str">
        <f>+'BOS G1ND'!Q34</f>
        <v>PAF</v>
      </c>
      <c r="R34" s="51"/>
      <c r="S34" s="51"/>
      <c r="T34" s="51"/>
      <c r="U34" s="51"/>
      <c r="V34" s="51"/>
    </row>
    <row r="35" spans="1:22" x14ac:dyDescent="0.3">
      <c r="A35" s="1">
        <f t="shared" si="0"/>
        <v>35</v>
      </c>
      <c r="B35" s="31"/>
      <c r="C35" s="44" t="str">
        <f>+'BOS G1ND'!C35</f>
        <v>Net Metering Recovery Surcharge</v>
      </c>
      <c r="H35" s="91">
        <v>1.197E-2</v>
      </c>
      <c r="I35" s="53">
        <f t="shared" si="19"/>
        <v>1.197E-2</v>
      </c>
      <c r="J35" s="53">
        <f t="shared" si="20"/>
        <v>1.197E-2</v>
      </c>
      <c r="K35" s="37"/>
      <c r="L35" s="53">
        <f t="shared" si="21"/>
        <v>1.197E-2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51" t="str">
        <f>+'BOS G1ND'!Q35</f>
        <v>NMRS</v>
      </c>
      <c r="R35" s="51"/>
      <c r="S35" s="51"/>
      <c r="T35" s="51"/>
      <c r="U35" s="51"/>
      <c r="V35" s="51"/>
    </row>
    <row r="36" spans="1:22" x14ac:dyDescent="0.3">
      <c r="A36" s="1">
        <f t="shared" si="0"/>
        <v>36</v>
      </c>
      <c r="B36" s="31"/>
      <c r="C36" s="44" t="str">
        <f>+'BOS G1ND'!C36</f>
        <v>Long Term Renewable Contract Adjustment</v>
      </c>
      <c r="H36" s="53">
        <v>-1.9300000000000001E-3</v>
      </c>
      <c r="I36" s="53">
        <f t="shared" si="19"/>
        <v>-1.9300000000000001E-3</v>
      </c>
      <c r="J36" s="53">
        <f t="shared" si="20"/>
        <v>-1.9300000000000001E-3</v>
      </c>
      <c r="K36" s="37"/>
      <c r="L36" s="53">
        <f t="shared" si="21"/>
        <v>-1.9300000000000001E-3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51" t="str">
        <f>+'BOS G1ND'!Q36</f>
        <v>LTRCA</v>
      </c>
      <c r="R36" s="51"/>
      <c r="S36" s="51"/>
      <c r="T36" s="51"/>
      <c r="U36" s="51"/>
      <c r="V36" s="51"/>
    </row>
    <row r="37" spans="1:22" x14ac:dyDescent="0.3">
      <c r="A37" s="1">
        <f t="shared" si="0"/>
        <v>37</v>
      </c>
      <c r="B37" s="31"/>
      <c r="C37" s="44" t="str">
        <f>+'BOS G1ND'!C37</f>
        <v>AG Consulting Expense</v>
      </c>
      <c r="H37" s="53">
        <v>4.0000000000000003E-5</v>
      </c>
      <c r="I37" s="53">
        <f t="shared" si="19"/>
        <v>4.0000000000000003E-5</v>
      </c>
      <c r="J37" s="53">
        <f t="shared" si="20"/>
        <v>4.0000000000000003E-5</v>
      </c>
      <c r="K37" s="37"/>
      <c r="L37" s="53">
        <f t="shared" si="21"/>
        <v>4.0000000000000003E-5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51" t="str">
        <f>+'BOS G1ND'!Q37</f>
        <v>AGCE</v>
      </c>
      <c r="R37" s="51"/>
      <c r="S37" s="51"/>
      <c r="T37" s="51"/>
      <c r="U37" s="51"/>
      <c r="V37" s="51"/>
    </row>
    <row r="38" spans="1:22" x14ac:dyDescent="0.3">
      <c r="A38" s="1">
        <f t="shared" si="0"/>
        <v>38</v>
      </c>
      <c r="B38" s="31"/>
      <c r="C38" s="44" t="str">
        <f>+'BOS G1ND'!C38</f>
        <v>Storm Cost Recovery Adjustment Factor</v>
      </c>
      <c r="H38" s="53">
        <v>4.8900000000000002E-3</v>
      </c>
      <c r="I38" s="53">
        <f t="shared" si="19"/>
        <v>4.8900000000000002E-3</v>
      </c>
      <c r="J38" s="53">
        <f t="shared" si="20"/>
        <v>4.8900000000000002E-3</v>
      </c>
      <c r="K38" s="37"/>
      <c r="L38" s="53">
        <f t="shared" si="21"/>
        <v>4.8900000000000002E-3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51" t="str">
        <f>+'BOS G1ND'!Q38</f>
        <v>SCRA</v>
      </c>
      <c r="R38" s="51"/>
      <c r="S38" s="51"/>
      <c r="T38" s="51"/>
      <c r="U38" s="51"/>
      <c r="V38" s="51"/>
    </row>
    <row r="39" spans="1:22" x14ac:dyDescent="0.3">
      <c r="A39" s="1">
        <f t="shared" si="0"/>
        <v>39</v>
      </c>
      <c r="B39" s="31"/>
      <c r="C39" s="44" t="str">
        <f>+'BOS G1ND'!C39</f>
        <v>Storm Reserve Adjustment</v>
      </c>
      <c r="H39" s="53">
        <v>0</v>
      </c>
      <c r="I39" s="53">
        <f t="shared" si="19"/>
        <v>0</v>
      </c>
      <c r="J39" s="53">
        <f t="shared" si="20"/>
        <v>0</v>
      </c>
      <c r="K39" s="37"/>
      <c r="L39" s="53">
        <f t="shared" si="21"/>
        <v>0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51" t="str">
        <f>+'BOS G1ND'!Q39</f>
        <v>SRA</v>
      </c>
      <c r="R39" s="51"/>
      <c r="S39" s="51"/>
      <c r="T39" s="51"/>
      <c r="U39" s="51"/>
      <c r="V39" s="51"/>
    </row>
    <row r="40" spans="1:22" x14ac:dyDescent="0.3">
      <c r="A40" s="1">
        <f t="shared" si="0"/>
        <v>40</v>
      </c>
      <c r="B40" s="31"/>
      <c r="C40" s="44" t="str">
        <f>+'BOS G1ND'!C40</f>
        <v>Basic Service Cost True Up Factor</v>
      </c>
      <c r="H40" s="53">
        <v>-3.4000000000000002E-4</v>
      </c>
      <c r="I40" s="53">
        <f t="shared" si="19"/>
        <v>-3.4000000000000002E-4</v>
      </c>
      <c r="J40" s="53">
        <f t="shared" si="20"/>
        <v>-3.4000000000000002E-4</v>
      </c>
      <c r="K40" s="37"/>
      <c r="L40" s="53">
        <f t="shared" si="21"/>
        <v>-3.4000000000000002E-4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51" t="str">
        <f>+'BOS G1ND'!Q40</f>
        <v>BSTF</v>
      </c>
      <c r="R40" s="51"/>
      <c r="S40" s="51"/>
      <c r="T40" s="51"/>
      <c r="U40" s="51"/>
      <c r="V40" s="51"/>
    </row>
    <row r="41" spans="1:22" x14ac:dyDescent="0.3">
      <c r="A41" s="1">
        <f t="shared" si="0"/>
        <v>41</v>
      </c>
      <c r="B41" s="31"/>
      <c r="C41" s="44" t="str">
        <f>+'BOS G1ND'!C41</f>
        <v>Solar Program Cost Adjustment Factor</v>
      </c>
      <c r="H41" s="53">
        <v>1.0000000000000001E-5</v>
      </c>
      <c r="I41" s="53">
        <f t="shared" si="19"/>
        <v>1.0000000000000001E-5</v>
      </c>
      <c r="J41" s="53">
        <f t="shared" si="20"/>
        <v>1.0000000000000001E-5</v>
      </c>
      <c r="K41" s="37"/>
      <c r="L41" s="53">
        <f t="shared" si="21"/>
        <v>1.0000000000000001E-5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51" t="str">
        <f>+'BOS G1ND'!Q41</f>
        <v>SPCA</v>
      </c>
      <c r="R41" s="51"/>
      <c r="S41" s="51"/>
      <c r="T41" s="51"/>
      <c r="U41" s="51"/>
      <c r="V41" s="51"/>
    </row>
    <row r="42" spans="1:22" x14ac:dyDescent="0.3">
      <c r="A42" s="1">
        <f t="shared" si="0"/>
        <v>42</v>
      </c>
      <c r="B42" s="31"/>
      <c r="C42" s="44" t="str">
        <f>+'BOS G1ND'!C42</f>
        <v>Solar Expansion Cost Recovery Factor</v>
      </c>
      <c r="D42" s="37"/>
      <c r="H42" s="53">
        <v>-3.6999999999999999E-4</v>
      </c>
      <c r="I42" s="53">
        <f t="shared" si="19"/>
        <v>-3.6999999999999999E-4</v>
      </c>
      <c r="J42" s="53">
        <f t="shared" si="20"/>
        <v>-3.6999999999999999E-4</v>
      </c>
      <c r="K42" s="37"/>
      <c r="L42" s="53">
        <f t="shared" si="21"/>
        <v>-3.6999999999999999E-4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51" t="str">
        <f>+'BOS G1ND'!Q42</f>
        <v>SECRF</v>
      </c>
      <c r="R42" s="51"/>
      <c r="S42" s="51"/>
      <c r="T42" s="51"/>
      <c r="U42" s="51"/>
      <c r="V42" s="51"/>
    </row>
    <row r="43" spans="1:22" x14ac:dyDescent="0.3">
      <c r="A43" s="1">
        <f t="shared" si="0"/>
        <v>43</v>
      </c>
      <c r="B43" s="31"/>
      <c r="C43" s="44" t="str">
        <f>+'BOS G1ND'!C43</f>
        <v>Vegetation Management</v>
      </c>
      <c r="D43" s="37"/>
      <c r="H43" s="53">
        <v>1.2999999999999999E-3</v>
      </c>
      <c r="I43" s="53">
        <f t="shared" si="19"/>
        <v>1.2999999999999999E-3</v>
      </c>
      <c r="J43" s="53">
        <f t="shared" si="20"/>
        <v>1.2999999999999999E-3</v>
      </c>
      <c r="K43" s="37"/>
      <c r="L43" s="53">
        <f t="shared" si="21"/>
        <v>1.2999999999999999E-3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51" t="str">
        <f>+'BOS G1ND'!Q43</f>
        <v>RTWF</v>
      </c>
      <c r="R43" s="51"/>
      <c r="S43" s="51"/>
      <c r="T43" s="51"/>
      <c r="U43" s="51"/>
      <c r="V43" s="51"/>
    </row>
    <row r="44" spans="1:22" x14ac:dyDescent="0.3">
      <c r="A44" s="1">
        <f t="shared" si="0"/>
        <v>44</v>
      </c>
      <c r="B44" s="31"/>
      <c r="C44" s="44" t="str">
        <f>+'BOS G1ND'!C44</f>
        <v>Tax Act Credit Factor</v>
      </c>
      <c r="H44" s="53">
        <v>-1.33E-3</v>
      </c>
      <c r="I44" s="53">
        <f t="shared" si="19"/>
        <v>-1.33E-3</v>
      </c>
      <c r="J44" s="53">
        <f t="shared" si="20"/>
        <v>-1.33E-3</v>
      </c>
      <c r="K44" s="37"/>
      <c r="L44" s="53">
        <f t="shared" si="21"/>
        <v>-1.33E-3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51" t="str">
        <f>+'BOS G1ND'!Q44</f>
        <v>TACF</v>
      </c>
      <c r="R44" s="51"/>
      <c r="S44" s="51"/>
      <c r="T44" s="51"/>
      <c r="U44" s="51"/>
      <c r="V44" s="51"/>
    </row>
    <row r="45" spans="1:22" x14ac:dyDescent="0.3">
      <c r="A45" s="1">
        <f t="shared" si="0"/>
        <v>45</v>
      </c>
      <c r="B45" s="31"/>
      <c r="C45" s="44" t="str">
        <f>+'BOS G1ND'!C45</f>
        <v>Grid Modernization</v>
      </c>
      <c r="H45" s="53">
        <v>1.65E-3</v>
      </c>
      <c r="I45" s="53">
        <f t="shared" si="19"/>
        <v>1.65E-3</v>
      </c>
      <c r="J45" s="53">
        <f t="shared" si="20"/>
        <v>1.65E-3</v>
      </c>
      <c r="K45" s="37"/>
      <c r="L45" s="53">
        <f t="shared" si="21"/>
        <v>1.65E-3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51" t="str">
        <f>+'BOS G1ND'!Q45</f>
        <v>GMOD</v>
      </c>
      <c r="R45" s="51"/>
      <c r="S45" s="51"/>
      <c r="T45" s="51"/>
      <c r="U45" s="51"/>
      <c r="V45" s="51"/>
    </row>
    <row r="46" spans="1:22" x14ac:dyDescent="0.3">
      <c r="A46" s="1">
        <f t="shared" si="0"/>
        <v>46</v>
      </c>
      <c r="B46" s="31"/>
      <c r="C46" s="44" t="str">
        <f>+'BOS G1ND'!C46</f>
        <v>Advanced Metering Infrastructure</v>
      </c>
      <c r="H46" s="53">
        <v>2.1900000000000001E-3</v>
      </c>
      <c r="I46" s="53">
        <f t="shared" si="19"/>
        <v>2.1900000000000001E-3</v>
      </c>
      <c r="J46" s="53">
        <f t="shared" si="20"/>
        <v>2.1900000000000001E-3</v>
      </c>
      <c r="K46" s="37"/>
      <c r="L46" s="53">
        <f t="shared" si="21"/>
        <v>2.1900000000000001E-3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51" t="str">
        <f>+'BOS G1ND'!Q46</f>
        <v>AMIF</v>
      </c>
      <c r="R46" s="51"/>
      <c r="S46" s="51"/>
      <c r="T46" s="51"/>
      <c r="U46" s="51"/>
      <c r="V46" s="51"/>
    </row>
    <row r="47" spans="1:22" x14ac:dyDescent="0.3">
      <c r="A47" s="1">
        <f t="shared" si="0"/>
        <v>47</v>
      </c>
      <c r="B47" s="31"/>
      <c r="C47" s="44" t="str">
        <f>+'BOS G1ND'!C47</f>
        <v>Electronic Payment Recovery</v>
      </c>
      <c r="H47" s="53">
        <v>0</v>
      </c>
      <c r="I47" s="53">
        <f t="shared" si="19"/>
        <v>0</v>
      </c>
      <c r="J47" s="53">
        <f t="shared" si="20"/>
        <v>0</v>
      </c>
      <c r="K47" s="37"/>
      <c r="L47" s="53">
        <f t="shared" si="21"/>
        <v>0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51" t="str">
        <f>+'BOS G1ND'!Q47</f>
        <v>EPR</v>
      </c>
      <c r="R47" s="51"/>
      <c r="S47" s="51"/>
      <c r="T47" s="51"/>
      <c r="U47" s="51"/>
      <c r="V47" s="51"/>
    </row>
    <row r="48" spans="1:22" x14ac:dyDescent="0.3">
      <c r="A48" s="1">
        <f t="shared" si="0"/>
        <v>48</v>
      </c>
      <c r="B48" s="31"/>
      <c r="C48" s="44" t="str">
        <f>+'BOS G1ND'!C48</f>
        <v>Provisional System Planning Factor</v>
      </c>
      <c r="H48" s="91">
        <v>0</v>
      </c>
      <c r="I48" s="53">
        <f t="shared" si="19"/>
        <v>0</v>
      </c>
      <c r="J48" s="53">
        <f t="shared" si="20"/>
        <v>0</v>
      </c>
      <c r="K48" s="37"/>
      <c r="L48" s="53">
        <f t="shared" si="21"/>
        <v>0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51" t="str">
        <f>+'BOS G1ND'!Q48</f>
        <v>PSPF</v>
      </c>
      <c r="R48" s="51"/>
      <c r="S48" s="51"/>
      <c r="T48" s="51"/>
      <c r="U48" s="51"/>
      <c r="V48" s="51"/>
    </row>
    <row r="49" spans="1:22" x14ac:dyDescent="0.3">
      <c r="A49" s="1">
        <f t="shared" si="0"/>
        <v>49</v>
      </c>
      <c r="B49" s="31"/>
      <c r="C49" s="44" t="str">
        <f>+'BOS G1ND'!C49</f>
        <v>Electric Vehicle Factor</v>
      </c>
      <c r="H49" s="91">
        <v>1.0300000000000001E-3</v>
      </c>
      <c r="I49" s="53">
        <f t="shared" si="19"/>
        <v>1.0300000000000001E-3</v>
      </c>
      <c r="J49" s="53">
        <f t="shared" si="20"/>
        <v>1.0300000000000001E-3</v>
      </c>
      <c r="K49" s="37"/>
      <c r="L49" s="53">
        <f t="shared" si="21"/>
        <v>1.0300000000000001E-3</v>
      </c>
      <c r="M49" s="54">
        <f t="shared" si="22"/>
        <v>0</v>
      </c>
      <c r="N49" s="54"/>
      <c r="O49" s="54">
        <f t="shared" si="23"/>
        <v>0</v>
      </c>
      <c r="P49" s="54">
        <f t="shared" si="24"/>
        <v>0</v>
      </c>
      <c r="Q49" s="51" t="str">
        <f>+'BOS G1ND'!Q49</f>
        <v>EVF</v>
      </c>
      <c r="R49" s="51"/>
      <c r="S49" s="51"/>
      <c r="T49" s="51"/>
      <c r="U49" s="51"/>
      <c r="V49" s="51"/>
    </row>
    <row r="50" spans="1:22" x14ac:dyDescent="0.3">
      <c r="A50" s="1">
        <f t="shared" si="0"/>
        <v>50</v>
      </c>
      <c r="B50" s="31"/>
      <c r="C50" s="44" t="str">
        <f>+'BOS G1ND'!C50</f>
        <v>Transition</v>
      </c>
      <c r="H50" s="91">
        <v>-3.6999999999999999E-4</v>
      </c>
      <c r="I50" s="53">
        <f t="shared" si="19"/>
        <v>-3.6999999999999999E-4</v>
      </c>
      <c r="J50" s="53">
        <f t="shared" si="20"/>
        <v>-3.6999999999999999E-4</v>
      </c>
      <c r="K50" s="37"/>
      <c r="L50" s="53">
        <f t="shared" si="21"/>
        <v>-3.6999999999999999E-4</v>
      </c>
      <c r="M50" s="54">
        <f t="shared" si="22"/>
        <v>0</v>
      </c>
      <c r="N50" s="54"/>
      <c r="O50" s="54">
        <f t="shared" si="23"/>
        <v>0</v>
      </c>
      <c r="P50" s="54">
        <f t="shared" si="24"/>
        <v>0</v>
      </c>
      <c r="Q50" s="51" t="str">
        <f>+'BOS G1ND'!Q50</f>
        <v>TRNSN</v>
      </c>
      <c r="R50" s="51"/>
      <c r="S50" s="51"/>
      <c r="T50" s="51"/>
      <c r="U50" s="51"/>
      <c r="V50" s="51"/>
    </row>
    <row r="51" spans="1:22" x14ac:dyDescent="0.3">
      <c r="A51" s="1">
        <f t="shared" si="0"/>
        <v>51</v>
      </c>
      <c r="B51" s="31"/>
      <c r="C51" s="44" t="s">
        <v>103</v>
      </c>
      <c r="H51" s="91">
        <v>3.7940000000000002E-2</v>
      </c>
      <c r="I51" s="53">
        <f t="shared" si="19"/>
        <v>3.7940000000000002E-2</v>
      </c>
      <c r="J51" s="53">
        <f t="shared" si="20"/>
        <v>3.7940000000000002E-2</v>
      </c>
      <c r="K51" s="37"/>
      <c r="L51" s="53">
        <f t="shared" si="21"/>
        <v>3.7940000000000002E-2</v>
      </c>
      <c r="M51" s="54">
        <f t="shared" si="22"/>
        <v>0</v>
      </c>
      <c r="N51" s="54"/>
      <c r="O51" s="54">
        <f t="shared" si="23"/>
        <v>0</v>
      </c>
      <c r="P51" s="54">
        <f t="shared" si="24"/>
        <v>0</v>
      </c>
      <c r="Q51" s="51" t="s">
        <v>104</v>
      </c>
      <c r="R51" s="51"/>
      <c r="S51" s="51"/>
      <c r="T51" s="51"/>
      <c r="U51" s="51"/>
      <c r="V51" s="51"/>
    </row>
    <row r="52" spans="1:22" x14ac:dyDescent="0.3">
      <c r="A52" s="1">
        <f t="shared" si="0"/>
        <v>52</v>
      </c>
      <c r="B52" s="31"/>
      <c r="C52" s="44" t="s">
        <v>105</v>
      </c>
      <c r="H52" s="91">
        <v>-8.1300000000000001E-3</v>
      </c>
      <c r="I52" s="53">
        <v>1.038E-2</v>
      </c>
      <c r="J52" s="53">
        <v>1.333E-2</v>
      </c>
      <c r="K52" s="53"/>
      <c r="L52" s="53">
        <v>1.3129999999999999E-2</v>
      </c>
      <c r="M52" s="54">
        <f t="shared" si="22"/>
        <v>1.8509999999999999E-2</v>
      </c>
      <c r="N52" s="54"/>
      <c r="O52" s="54">
        <f t="shared" si="23"/>
        <v>2.9499999999999995E-3</v>
      </c>
      <c r="P52" s="54">
        <f t="shared" si="24"/>
        <v>-2.0000000000000052E-4</v>
      </c>
      <c r="Q52" s="51" t="s">
        <v>106</v>
      </c>
      <c r="R52" s="51"/>
      <c r="S52" s="51"/>
      <c r="T52" s="51"/>
      <c r="U52" s="51"/>
      <c r="V52" s="51"/>
    </row>
    <row r="53" spans="1:22" x14ac:dyDescent="0.3">
      <c r="A53" s="1">
        <f t="shared" si="0"/>
        <v>53</v>
      </c>
      <c r="B53" s="31"/>
      <c r="C53" s="44" t="s">
        <v>107</v>
      </c>
      <c r="H53" s="91">
        <v>2.5000000000000001E-3</v>
      </c>
      <c r="I53" s="53">
        <f t="shared" si="19"/>
        <v>2.5000000000000001E-3</v>
      </c>
      <c r="J53" s="53">
        <f t="shared" si="20"/>
        <v>2.5000000000000001E-3</v>
      </c>
      <c r="K53" s="37"/>
      <c r="L53" s="53">
        <f t="shared" si="21"/>
        <v>2.5000000000000001E-3</v>
      </c>
      <c r="M53" s="54">
        <f t="shared" si="22"/>
        <v>0</v>
      </c>
      <c r="N53" s="54"/>
      <c r="O53" s="54">
        <f t="shared" si="23"/>
        <v>0</v>
      </c>
      <c r="P53" s="54">
        <f t="shared" si="24"/>
        <v>0</v>
      </c>
      <c r="Q53" s="51" t="s">
        <v>108</v>
      </c>
      <c r="R53" s="51"/>
      <c r="S53" s="51"/>
      <c r="T53" s="51"/>
      <c r="U53" s="51"/>
      <c r="V53" s="51"/>
    </row>
    <row r="54" spans="1:22" x14ac:dyDescent="0.3">
      <c r="A54" s="1">
        <f t="shared" si="0"/>
        <v>54</v>
      </c>
      <c r="B54" s="31"/>
      <c r="C54" s="44" t="s">
        <v>109</v>
      </c>
      <c r="D54" s="44"/>
      <c r="H54" s="91">
        <v>5.0000000000000001E-4</v>
      </c>
      <c r="I54" s="53">
        <f t="shared" si="19"/>
        <v>5.0000000000000001E-4</v>
      </c>
      <c r="J54" s="53">
        <f t="shared" si="20"/>
        <v>5.0000000000000001E-4</v>
      </c>
      <c r="K54" s="37"/>
      <c r="L54" s="53">
        <f t="shared" si="21"/>
        <v>5.0000000000000001E-4</v>
      </c>
      <c r="M54" s="54">
        <f t="shared" si="22"/>
        <v>0</v>
      </c>
      <c r="N54" s="54"/>
      <c r="O54" s="54">
        <f t="shared" si="23"/>
        <v>0</v>
      </c>
      <c r="P54" s="54">
        <f t="shared" si="24"/>
        <v>0</v>
      </c>
      <c r="Q54" s="51" t="s">
        <v>110</v>
      </c>
    </row>
    <row r="55" spans="1:22" x14ac:dyDescent="0.3">
      <c r="A55" s="1">
        <f t="shared" si="0"/>
        <v>55</v>
      </c>
      <c r="B55" s="31"/>
      <c r="C55" s="44" t="s">
        <v>111</v>
      </c>
      <c r="D55" s="44"/>
      <c r="H55" s="53">
        <v>0.15676999999999999</v>
      </c>
      <c r="I55" s="53">
        <f t="shared" si="19"/>
        <v>0.15676999999999999</v>
      </c>
      <c r="J55" s="53">
        <f t="shared" si="20"/>
        <v>0.15676999999999999</v>
      </c>
      <c r="K55" s="37"/>
      <c r="L55" s="53">
        <f t="shared" si="21"/>
        <v>0.15676999999999999</v>
      </c>
      <c r="M55" s="54">
        <f t="shared" si="22"/>
        <v>0</v>
      </c>
      <c r="N55" s="54"/>
      <c r="O55" s="54">
        <f t="shared" si="23"/>
        <v>0</v>
      </c>
      <c r="P55" s="54">
        <f t="shared" si="24"/>
        <v>0</v>
      </c>
      <c r="Q55" s="51" t="s">
        <v>112</v>
      </c>
    </row>
    <row r="56" spans="1:22" x14ac:dyDescent="0.3">
      <c r="A56" s="1"/>
      <c r="B56" s="31"/>
      <c r="C56" s="44"/>
      <c r="D56" s="44"/>
      <c r="H56" s="92"/>
      <c r="I56" s="92"/>
      <c r="J56" s="94"/>
    </row>
    <row r="57" spans="1:22" x14ac:dyDescent="0.3">
      <c r="A57" s="1"/>
      <c r="B57" s="31"/>
      <c r="C57" s="44" t="s">
        <v>58</v>
      </c>
      <c r="D57" s="44"/>
      <c r="H57" s="88">
        <f>+H28</f>
        <v>15</v>
      </c>
      <c r="I57" s="88">
        <f>+I28</f>
        <v>15</v>
      </c>
      <c r="J57" s="88">
        <f>+J28</f>
        <v>15</v>
      </c>
      <c r="L57" s="88">
        <f>+L28</f>
        <v>15</v>
      </c>
    </row>
    <row r="58" spans="1:22" x14ac:dyDescent="0.3">
      <c r="A58" s="1"/>
      <c r="B58" s="31"/>
      <c r="C58" s="44" t="s">
        <v>122</v>
      </c>
      <c r="D58" s="44"/>
      <c r="H58" s="92">
        <f>SUM(H29:H54)</f>
        <v>0.10242999999999999</v>
      </c>
      <c r="I58" s="92">
        <f>SUM(I29:I54)</f>
        <v>0.12093999999999999</v>
      </c>
      <c r="J58" s="92">
        <f>SUM(J29:J54)</f>
        <v>0.12388999999999999</v>
      </c>
      <c r="L58" s="92">
        <f>SUM(L29:L54)</f>
        <v>0.12368999999999999</v>
      </c>
    </row>
    <row r="59" spans="1:22" x14ac:dyDescent="0.3">
      <c r="A59" s="1"/>
      <c r="B59" s="31"/>
      <c r="C59" s="44" t="s">
        <v>123</v>
      </c>
      <c r="H59" s="92">
        <f>+H55</f>
        <v>0.15676999999999999</v>
      </c>
      <c r="I59" s="92">
        <f>+I55</f>
        <v>0.15676999999999999</v>
      </c>
      <c r="J59" s="92">
        <f>+J55</f>
        <v>0.15676999999999999</v>
      </c>
      <c r="L59" s="92">
        <f>+L55</f>
        <v>0.15676999999999999</v>
      </c>
    </row>
    <row r="60" spans="1:22" x14ac:dyDescent="0.3">
      <c r="A60" s="1"/>
      <c r="B60" s="31"/>
      <c r="D60" s="136"/>
      <c r="E60" s="136"/>
      <c r="F60" s="88"/>
      <c r="H60" s="161"/>
      <c r="I60" s="88"/>
      <c r="J60" s="136"/>
      <c r="K60" s="136"/>
      <c r="L60" s="136"/>
    </row>
    <row r="61" spans="1:22" x14ac:dyDescent="0.3">
      <c r="A61" s="1"/>
      <c r="B61" s="31"/>
      <c r="D61" s="136"/>
      <c r="E61" s="136"/>
      <c r="F61" s="88"/>
      <c r="H61" s="161"/>
      <c r="I61" s="88"/>
      <c r="J61" s="136"/>
      <c r="K61" s="136"/>
      <c r="L61" s="136"/>
    </row>
    <row r="62" spans="1:22" x14ac:dyDescent="0.3">
      <c r="A62" s="1"/>
      <c r="B62" s="31"/>
      <c r="D62" s="136"/>
      <c r="E62" s="136"/>
      <c r="F62" s="88"/>
      <c r="H62" s="161"/>
      <c r="I62" s="88"/>
      <c r="J62" s="136"/>
      <c r="K62" s="136"/>
      <c r="L62" s="136"/>
    </row>
    <row r="63" spans="1:22" x14ac:dyDescent="0.3">
      <c r="A63" s="1"/>
      <c r="B63" s="31"/>
      <c r="D63" s="136"/>
      <c r="E63" s="136"/>
      <c r="F63" s="91"/>
      <c r="H63" s="162"/>
      <c r="I63" s="91"/>
      <c r="J63" s="136"/>
      <c r="K63" s="136"/>
      <c r="L63" s="136"/>
    </row>
    <row r="64" spans="1:22" x14ac:dyDescent="0.3">
      <c r="A64" s="1"/>
      <c r="B64" s="31"/>
      <c r="D64" s="136"/>
      <c r="E64" s="136"/>
      <c r="F64" s="91"/>
      <c r="H64" s="162"/>
      <c r="I64" s="91"/>
      <c r="J64" s="136"/>
      <c r="K64" s="136"/>
      <c r="L64" s="136"/>
    </row>
    <row r="65" spans="1:12" x14ac:dyDescent="0.3">
      <c r="A65" s="1"/>
      <c r="B65" s="31"/>
      <c r="D65" s="136"/>
      <c r="E65" s="136"/>
      <c r="F65" s="91"/>
      <c r="H65" s="162"/>
      <c r="I65" s="91"/>
      <c r="J65" s="136"/>
      <c r="K65" s="136"/>
      <c r="L65" s="136"/>
    </row>
    <row r="66" spans="1:12" x14ac:dyDescent="0.3">
      <c r="A66" s="31"/>
      <c r="B66" s="31"/>
      <c r="D66" s="136"/>
      <c r="E66" s="136"/>
      <c r="F66" s="136"/>
      <c r="G66" s="136"/>
      <c r="H66" s="136"/>
      <c r="I66" s="136"/>
      <c r="J66" s="136"/>
      <c r="K66" s="136"/>
      <c r="L66" s="136"/>
    </row>
    <row r="67" spans="1:12" x14ac:dyDescent="0.3">
      <c r="A67" s="31"/>
      <c r="B67" s="31"/>
      <c r="D67" s="136"/>
      <c r="E67" s="136"/>
      <c r="F67" s="136"/>
      <c r="G67" s="136"/>
      <c r="H67" s="136"/>
      <c r="I67" s="136"/>
      <c r="J67" s="136"/>
      <c r="K67" s="136"/>
      <c r="L67" s="136"/>
    </row>
    <row r="68" spans="1:12" x14ac:dyDescent="0.3">
      <c r="A68" s="31"/>
      <c r="B68" s="31"/>
    </row>
    <row r="69" spans="1:12" x14ac:dyDescent="0.3">
      <c r="A69" s="31"/>
      <c r="B69" s="31"/>
    </row>
    <row r="70" spans="1:12" x14ac:dyDescent="0.3">
      <c r="A70" s="31"/>
      <c r="B70" s="31"/>
    </row>
    <row r="71" spans="1:12" x14ac:dyDescent="0.3">
      <c r="A71" s="31"/>
      <c r="B71" s="31"/>
    </row>
    <row r="72" spans="1:12" x14ac:dyDescent="0.3">
      <c r="A72" s="31"/>
      <c r="B72" s="31"/>
    </row>
    <row r="73" spans="1:12" x14ac:dyDescent="0.3">
      <c r="A73" s="31"/>
      <c r="B73" s="31"/>
    </row>
    <row r="74" spans="1:12" x14ac:dyDescent="0.3">
      <c r="A74" s="31"/>
      <c r="B74" s="31"/>
    </row>
    <row r="75" spans="1:12" x14ac:dyDescent="0.3">
      <c r="A75" s="31"/>
      <c r="B75" s="31"/>
    </row>
    <row r="76" spans="1:12" x14ac:dyDescent="0.3">
      <c r="A76" s="31"/>
      <c r="B76" s="31"/>
    </row>
    <row r="77" spans="1:12" x14ac:dyDescent="0.3">
      <c r="A77" s="31"/>
      <c r="B77" s="31"/>
    </row>
    <row r="78" spans="1:12" x14ac:dyDescent="0.3">
      <c r="A78" s="31"/>
      <c r="B78" s="31"/>
    </row>
    <row r="79" spans="1:12" x14ac:dyDescent="0.3">
      <c r="A79" s="31"/>
      <c r="B79" s="31"/>
    </row>
    <row r="80" spans="1:12" x14ac:dyDescent="0.3">
      <c r="A80" s="31"/>
      <c r="B80" s="31"/>
    </row>
    <row r="81" spans="1:22" x14ac:dyDescent="0.3">
      <c r="A81" s="31"/>
      <c r="B81" s="31"/>
    </row>
    <row r="82" spans="1:22" x14ac:dyDescent="0.3">
      <c r="A82" s="31"/>
      <c r="B82" s="31"/>
    </row>
    <row r="83" spans="1:22" x14ac:dyDescent="0.3">
      <c r="A83" s="31"/>
      <c r="B83" s="31"/>
    </row>
    <row r="84" spans="1:22" x14ac:dyDescent="0.3">
      <c r="A84" s="31"/>
      <c r="B84" s="31"/>
    </row>
    <row r="85" spans="1:22" x14ac:dyDescent="0.3">
      <c r="A85" s="31"/>
      <c r="B85" s="31"/>
    </row>
    <row r="86" spans="1:22" x14ac:dyDescent="0.3">
      <c r="A86" s="31"/>
      <c r="B86" s="31"/>
    </row>
    <row r="87" spans="1:22" x14ac:dyDescent="0.3">
      <c r="A87" s="31"/>
      <c r="B87" s="31"/>
    </row>
    <row r="88" spans="1:22" x14ac:dyDescent="0.3">
      <c r="A88" s="31"/>
      <c r="B88" s="31"/>
    </row>
    <row r="89" spans="1:22" x14ac:dyDescent="0.3">
      <c r="A89" s="31"/>
      <c r="B89" s="31"/>
      <c r="C89" s="163"/>
      <c r="D89" s="146"/>
      <c r="E89" s="146"/>
      <c r="F89" s="146"/>
      <c r="G89" s="147"/>
      <c r="H89" s="146"/>
      <c r="I89" s="146"/>
      <c r="J89" s="146"/>
      <c r="K89" s="147"/>
      <c r="L89" s="146"/>
      <c r="M89" s="148"/>
      <c r="N89" s="148"/>
      <c r="O89" s="148"/>
      <c r="P89" s="148"/>
      <c r="Q89" s="148"/>
      <c r="R89" s="148"/>
      <c r="S89" s="148"/>
      <c r="T89" s="148"/>
      <c r="U89" s="148"/>
      <c r="V89" s="148"/>
    </row>
    <row r="90" spans="1:22" x14ac:dyDescent="0.3">
      <c r="A90" s="31"/>
      <c r="B90" s="31"/>
    </row>
    <row r="91" spans="1:22" x14ac:dyDescent="0.3">
      <c r="A91" s="31"/>
      <c r="B91" s="31"/>
      <c r="C91" s="163"/>
      <c r="D91" s="146"/>
      <c r="E91" s="146"/>
      <c r="F91" s="146"/>
      <c r="G91" s="147"/>
      <c r="H91" s="146"/>
      <c r="I91" s="146"/>
      <c r="J91" s="146"/>
      <c r="K91" s="147"/>
      <c r="L91" s="146"/>
      <c r="M91" s="148"/>
      <c r="N91" s="148"/>
      <c r="O91" s="148"/>
      <c r="P91" s="148"/>
      <c r="Q91" s="148"/>
      <c r="R91" s="148"/>
      <c r="S91" s="148"/>
      <c r="T91" s="148"/>
      <c r="U91" s="148"/>
      <c r="V91" s="148"/>
    </row>
    <row r="92" spans="1:22" x14ac:dyDescent="0.3">
      <c r="A92" s="31"/>
      <c r="B92" s="31"/>
    </row>
    <row r="93" spans="1:22" x14ac:dyDescent="0.3">
      <c r="A93" s="31"/>
      <c r="B93" s="31"/>
    </row>
    <row r="94" spans="1:22" x14ac:dyDescent="0.3">
      <c r="A94" s="31"/>
      <c r="B94" s="31"/>
    </row>
    <row r="95" spans="1:22" x14ac:dyDescent="0.3">
      <c r="A95" s="31"/>
      <c r="B95" s="31"/>
    </row>
    <row r="96" spans="1:22" x14ac:dyDescent="0.3">
      <c r="A96" s="31"/>
      <c r="B96" s="31"/>
    </row>
    <row r="97" spans="1:2" x14ac:dyDescent="0.3">
      <c r="A97" s="31"/>
      <c r="B97" s="31"/>
    </row>
    <row r="98" spans="1:2" x14ac:dyDescent="0.3">
      <c r="A98" s="31"/>
      <c r="B98" s="31"/>
    </row>
    <row r="99" spans="1:2" x14ac:dyDescent="0.3">
      <c r="A99" s="31"/>
      <c r="B99" s="31"/>
    </row>
    <row r="100" spans="1:2" x14ac:dyDescent="0.3">
      <c r="A100" s="31"/>
      <c r="B100" s="31"/>
    </row>
    <row r="101" spans="1:2" x14ac:dyDescent="0.3">
      <c r="A101" s="31"/>
      <c r="B101" s="31"/>
    </row>
    <row r="102" spans="1:2" x14ac:dyDescent="0.3">
      <c r="A102" s="31"/>
      <c r="B102" s="31"/>
    </row>
    <row r="103" spans="1:2" x14ac:dyDescent="0.3">
      <c r="A103" s="31"/>
      <c r="B103" s="31"/>
    </row>
    <row r="104" spans="1:2" x14ac:dyDescent="0.3">
      <c r="A104" s="31"/>
      <c r="B104" s="31"/>
    </row>
    <row r="105" spans="1:2" x14ac:dyDescent="0.3">
      <c r="A105" s="31"/>
      <c r="B105" s="31"/>
    </row>
    <row r="106" spans="1:2" x14ac:dyDescent="0.3">
      <c r="A106" s="31"/>
      <c r="B106" s="31"/>
    </row>
    <row r="107" spans="1:2" x14ac:dyDescent="0.3">
      <c r="A107" s="31"/>
      <c r="B107" s="31"/>
    </row>
    <row r="108" spans="1:2" x14ac:dyDescent="0.3">
      <c r="A108" s="31"/>
      <c r="B108" s="31"/>
    </row>
    <row r="109" spans="1:2" x14ac:dyDescent="0.3">
      <c r="A109" s="31"/>
      <c r="B109" s="31"/>
    </row>
    <row r="110" spans="1:2" x14ac:dyDescent="0.3">
      <c r="A110" s="31"/>
      <c r="B110" s="31"/>
    </row>
    <row r="111" spans="1:2" x14ac:dyDescent="0.3">
      <c r="A111" s="31"/>
      <c r="B111" s="31"/>
    </row>
    <row r="112" spans="1:2" x14ac:dyDescent="0.3">
      <c r="A112" s="31"/>
      <c r="B112" s="31"/>
    </row>
    <row r="113" spans="1:2" x14ac:dyDescent="0.3">
      <c r="A113" s="31"/>
      <c r="B113" s="31"/>
    </row>
    <row r="114" spans="1:2" x14ac:dyDescent="0.3">
      <c r="A114" s="31"/>
      <c r="B114" s="31"/>
    </row>
    <row r="115" spans="1:2" x14ac:dyDescent="0.3">
      <c r="A115" s="31"/>
      <c r="B115" s="31"/>
    </row>
    <row r="116" spans="1:2" x14ac:dyDescent="0.3">
      <c r="A116" s="31"/>
      <c r="B116" s="31"/>
    </row>
    <row r="117" spans="1:2" x14ac:dyDescent="0.3">
      <c r="A117" s="31"/>
      <c r="B117" s="31"/>
    </row>
    <row r="118" spans="1:2" x14ac:dyDescent="0.3">
      <c r="A118" s="31"/>
      <c r="B118" s="31"/>
    </row>
    <row r="119" spans="1:2" x14ac:dyDescent="0.3">
      <c r="A119" s="31"/>
      <c r="B119" s="31"/>
    </row>
    <row r="120" spans="1:2" x14ac:dyDescent="0.3">
      <c r="A120" s="31"/>
      <c r="B120" s="31"/>
    </row>
    <row r="121" spans="1:2" x14ac:dyDescent="0.3">
      <c r="A121" s="31"/>
      <c r="B121" s="31"/>
    </row>
    <row r="122" spans="1:2" x14ac:dyDescent="0.3">
      <c r="A122" s="31"/>
      <c r="B122" s="31"/>
    </row>
    <row r="123" spans="1:2" x14ac:dyDescent="0.3">
      <c r="A123" s="31"/>
      <c r="B123" s="31"/>
    </row>
    <row r="124" spans="1:2" x14ac:dyDescent="0.3">
      <c r="A124" s="31"/>
      <c r="B124" s="31"/>
    </row>
    <row r="125" spans="1:2" x14ac:dyDescent="0.3">
      <c r="A125" s="31"/>
      <c r="B125" s="31"/>
    </row>
    <row r="126" spans="1:2" x14ac:dyDescent="0.3">
      <c r="A126" s="31"/>
      <c r="B126" s="31"/>
    </row>
    <row r="127" spans="1:2" x14ac:dyDescent="0.3">
      <c r="A127" s="31"/>
      <c r="B127" s="31"/>
    </row>
    <row r="128" spans="1:2" x14ac:dyDescent="0.3">
      <c r="A128" s="31"/>
      <c r="B128" s="31"/>
    </row>
    <row r="129" spans="1:2" x14ac:dyDescent="0.3">
      <c r="A129" s="31"/>
      <c r="B129" s="31"/>
    </row>
    <row r="130" spans="1:2" x14ac:dyDescent="0.3">
      <c r="A130" s="31"/>
      <c r="B130" s="31"/>
    </row>
    <row r="131" spans="1:2" x14ac:dyDescent="0.3">
      <c r="A131" s="31"/>
      <c r="B131" s="31"/>
    </row>
    <row r="132" spans="1:2" x14ac:dyDescent="0.3">
      <c r="A132" s="31"/>
      <c r="B132" s="31"/>
    </row>
    <row r="133" spans="1:2" x14ac:dyDescent="0.3">
      <c r="A133" s="31"/>
      <c r="B133" s="31"/>
    </row>
    <row r="134" spans="1:2" x14ac:dyDescent="0.3">
      <c r="A134" s="31"/>
      <c r="B134" s="31"/>
    </row>
    <row r="135" spans="1:2" x14ac:dyDescent="0.3">
      <c r="A135" s="31"/>
      <c r="B135" s="31"/>
    </row>
    <row r="136" spans="1:2" x14ac:dyDescent="0.3">
      <c r="A136" s="31"/>
      <c r="B136" s="31"/>
    </row>
    <row r="137" spans="1:2" x14ac:dyDescent="0.3">
      <c r="A137" s="31"/>
      <c r="B137" s="31"/>
    </row>
    <row r="138" spans="1:2" x14ac:dyDescent="0.3">
      <c r="A138" s="31"/>
      <c r="B138" s="31"/>
    </row>
    <row r="139" spans="1:2" x14ac:dyDescent="0.3">
      <c r="A139" s="31"/>
      <c r="B139" s="31"/>
    </row>
    <row r="140" spans="1:2" x14ac:dyDescent="0.3">
      <c r="A140" s="31"/>
      <c r="B140" s="31"/>
    </row>
    <row r="141" spans="1:2" x14ac:dyDescent="0.3">
      <c r="A141" s="31"/>
      <c r="B141" s="31"/>
    </row>
    <row r="142" spans="1:2" x14ac:dyDescent="0.3">
      <c r="A142" s="31"/>
      <c r="B142" s="31"/>
    </row>
    <row r="143" spans="1:2" x14ac:dyDescent="0.3">
      <c r="A143" s="31"/>
      <c r="B143" s="31"/>
    </row>
    <row r="144" spans="1:2" x14ac:dyDescent="0.3">
      <c r="A144" s="31"/>
      <c r="B144" s="31"/>
    </row>
    <row r="145" spans="1:2" x14ac:dyDescent="0.3">
      <c r="A145" s="31"/>
      <c r="B145" s="31"/>
    </row>
    <row r="146" spans="1:2" x14ac:dyDescent="0.3">
      <c r="A146" s="31"/>
      <c r="B146" s="31"/>
    </row>
    <row r="147" spans="1:2" x14ac:dyDescent="0.3">
      <c r="A147" s="31"/>
      <c r="B147" s="31"/>
    </row>
  </sheetData>
  <mergeCells count="7">
    <mergeCell ref="Z11:AA11"/>
    <mergeCell ref="D11:F11"/>
    <mergeCell ref="H11:J11"/>
    <mergeCell ref="L11:M11"/>
    <mergeCell ref="O11:Q11"/>
    <mergeCell ref="S11:T11"/>
    <mergeCell ref="V11:X11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7036-1EAF-45FE-9895-E34C0262A0A8}">
  <sheetPr>
    <tabColor theme="3" tint="0.59999389629810485"/>
    <pageSetUpPr fitToPage="1"/>
  </sheetPr>
  <dimension ref="A1:AA111"/>
  <sheetViews>
    <sheetView zoomScaleNormal="100" workbookViewId="0"/>
  </sheetViews>
  <sheetFormatPr defaultColWidth="8.7265625" defaultRowHeight="13" x14ac:dyDescent="0.3"/>
  <cols>
    <col min="1" max="1" width="3.81640625" style="68" customWidth="1"/>
    <col min="2" max="2" width="4.453125" style="68" bestFit="1" customWidth="1"/>
    <col min="3" max="3" width="12.54296875" style="68" customWidth="1"/>
    <col min="4" max="6" width="12" style="68" customWidth="1"/>
    <col min="7" max="7" width="2" style="68" customWidth="1"/>
    <col min="8" max="10" width="12" style="68" customWidth="1"/>
    <col min="11" max="11" width="2" style="68" customWidth="1"/>
    <col min="12" max="13" width="11.7265625" style="68" customWidth="1"/>
    <col min="14" max="14" width="2" style="68" customWidth="1"/>
    <col min="15" max="17" width="12" style="68" customWidth="1"/>
    <col min="18" max="18" width="2" style="68" customWidth="1"/>
    <col min="19" max="20" width="11.7265625" style="68" customWidth="1"/>
    <col min="21" max="21" width="2" style="68" customWidth="1"/>
    <col min="22" max="24" width="12" style="68" customWidth="1"/>
    <col min="25" max="25" width="2" style="68" customWidth="1"/>
    <col min="26" max="16384" width="8.7265625" style="68"/>
  </cols>
  <sheetData>
    <row r="1" spans="1:27" ht="14" x14ac:dyDescent="0.3">
      <c r="A1" s="67">
        <v>1</v>
      </c>
      <c r="C1" s="69"/>
      <c r="D1" s="70"/>
      <c r="E1" s="70"/>
      <c r="F1" s="70"/>
      <c r="G1" s="70"/>
      <c r="H1" s="70"/>
      <c r="I1" s="70"/>
      <c r="J1" s="70"/>
      <c r="K1" s="70"/>
      <c r="L1" s="70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7" ht="14" x14ac:dyDescent="0.3">
      <c r="A2" s="67">
        <f>A1+1</f>
        <v>2</v>
      </c>
      <c r="C2" s="72"/>
      <c r="D2" s="70"/>
      <c r="E2" s="70"/>
      <c r="F2" s="70"/>
      <c r="G2" s="70"/>
      <c r="H2" s="70"/>
      <c r="I2" s="70"/>
      <c r="J2" s="70"/>
      <c r="K2" s="70"/>
      <c r="L2" s="70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7" ht="14" x14ac:dyDescent="0.3">
      <c r="A3" s="67">
        <f t="shared" ref="A3:A54" si="0">A2+1</f>
        <v>3</v>
      </c>
      <c r="B3" s="24" t="s">
        <v>115</v>
      </c>
      <c r="D3" s="27"/>
      <c r="E3" s="27"/>
      <c r="F3" s="27"/>
      <c r="G3" s="27"/>
      <c r="L3" s="73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7" ht="14" x14ac:dyDescent="0.3">
      <c r="A4" s="67">
        <f t="shared" si="0"/>
        <v>4</v>
      </c>
      <c r="B4" s="24" t="s">
        <v>41</v>
      </c>
      <c r="D4" s="28"/>
      <c r="E4" s="28"/>
      <c r="F4" s="28"/>
      <c r="G4" s="28"/>
      <c r="H4" s="74"/>
      <c r="I4" s="74"/>
      <c r="J4" s="74"/>
      <c r="K4" s="74"/>
      <c r="L4" s="28"/>
      <c r="W4" s="28"/>
      <c r="X4" s="75"/>
    </row>
    <row r="5" spans="1:27" ht="14" x14ac:dyDescent="0.3">
      <c r="A5" s="67">
        <f t="shared" si="0"/>
        <v>5</v>
      </c>
      <c r="B5" s="24"/>
      <c r="D5" s="28"/>
      <c r="E5" s="28"/>
      <c r="F5" s="28"/>
      <c r="G5" s="28"/>
      <c r="H5" s="74"/>
      <c r="I5" s="74"/>
      <c r="J5" s="74"/>
      <c r="K5" s="74"/>
      <c r="L5" s="28"/>
      <c r="W5" s="28"/>
      <c r="X5" s="75"/>
    </row>
    <row r="6" spans="1:27" ht="14" x14ac:dyDescent="0.3">
      <c r="A6" s="67">
        <f t="shared" si="0"/>
        <v>6</v>
      </c>
      <c r="B6" s="24" t="s">
        <v>134</v>
      </c>
      <c r="D6" s="28"/>
      <c r="E6" s="28"/>
      <c r="F6" s="28"/>
      <c r="G6" s="28"/>
      <c r="H6" s="74"/>
      <c r="I6" s="74"/>
      <c r="J6" s="74"/>
      <c r="K6" s="74"/>
      <c r="L6" s="28"/>
      <c r="W6" s="28"/>
      <c r="X6" s="75"/>
    </row>
    <row r="7" spans="1:27" ht="14" x14ac:dyDescent="0.3">
      <c r="A7" s="67">
        <f t="shared" si="0"/>
        <v>7</v>
      </c>
      <c r="B7" s="67"/>
      <c r="D7" s="28"/>
      <c r="E7" s="28"/>
      <c r="F7" s="28"/>
      <c r="G7" s="28"/>
      <c r="H7" s="74"/>
      <c r="I7" s="74"/>
      <c r="J7" s="74"/>
      <c r="K7" s="74"/>
      <c r="L7" s="28"/>
      <c r="W7" s="28"/>
      <c r="X7" s="75"/>
    </row>
    <row r="8" spans="1:27" ht="14" x14ac:dyDescent="0.3">
      <c r="A8" s="67">
        <f t="shared" si="0"/>
        <v>8</v>
      </c>
      <c r="B8" s="27"/>
      <c r="D8" s="28"/>
      <c r="E8" s="28"/>
      <c r="F8" s="28"/>
      <c r="G8" s="28"/>
      <c r="H8" s="28"/>
      <c r="I8" s="28"/>
      <c r="J8" s="28"/>
      <c r="K8" s="28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8"/>
      <c r="X8" s="75"/>
    </row>
    <row r="9" spans="1:27" ht="14" x14ac:dyDescent="0.3">
      <c r="A9" s="67">
        <f t="shared" si="0"/>
        <v>9</v>
      </c>
      <c r="B9" s="27"/>
      <c r="D9" s="28"/>
      <c r="E9" s="28"/>
      <c r="F9" s="28"/>
      <c r="G9" s="28"/>
      <c r="H9" s="28"/>
      <c r="I9" s="28"/>
      <c r="J9" s="28"/>
      <c r="K9" s="28"/>
      <c r="L9" s="28"/>
      <c r="M9" s="30"/>
      <c r="N9" s="30"/>
      <c r="O9" s="30"/>
      <c r="P9" s="30"/>
      <c r="Q9" s="30"/>
      <c r="R9" s="30"/>
      <c r="S9" s="30"/>
      <c r="T9" s="30"/>
      <c r="U9" s="30"/>
      <c r="V9" s="30"/>
      <c r="W9" s="28"/>
      <c r="X9" s="75"/>
    </row>
    <row r="10" spans="1:27" ht="14" x14ac:dyDescent="0.3">
      <c r="A10" s="67">
        <f t="shared" si="0"/>
        <v>10</v>
      </c>
      <c r="B10" s="27"/>
      <c r="C10" s="27" t="s">
        <v>2</v>
      </c>
      <c r="D10" s="32" t="str">
        <f>'EMA R1'!D10</f>
        <v>2024 Monthly Bill</v>
      </c>
      <c r="E10" s="32"/>
      <c r="F10" s="32"/>
      <c r="G10" s="33"/>
      <c r="H10" s="32" t="str">
        <f>'EMA R1'!H10</f>
        <v>2025 Illustrative Monthly Bill</v>
      </c>
      <c r="I10" s="32"/>
      <c r="J10" s="32"/>
      <c r="K10" s="23"/>
      <c r="L10" s="32" t="str">
        <f>'EMA R1'!L10</f>
        <v>2025 vs. 2024</v>
      </c>
      <c r="M10" s="32"/>
      <c r="N10" s="27"/>
      <c r="O10" s="32" t="str">
        <f>'EMA R1'!O10</f>
        <v>2026 Illustrative Monthly Bill</v>
      </c>
      <c r="P10" s="32"/>
      <c r="Q10" s="32"/>
      <c r="R10" s="33"/>
      <c r="S10" s="32" t="str">
        <f>'EMA R1'!S10</f>
        <v>2026 vs. 2025</v>
      </c>
      <c r="T10" s="32"/>
      <c r="U10" s="23"/>
      <c r="V10" s="32" t="str">
        <f>'EMA R1'!V10</f>
        <v>2027 Illustrative Monthly Bill</v>
      </c>
      <c r="W10" s="32"/>
      <c r="X10" s="32"/>
      <c r="Y10" s="33"/>
      <c r="Z10" s="32" t="str">
        <f>'EMA R1'!Z10</f>
        <v>2027 vs. 2026</v>
      </c>
      <c r="AA10" s="32"/>
    </row>
    <row r="11" spans="1:27" ht="14" x14ac:dyDescent="0.3">
      <c r="A11" s="67">
        <f t="shared" si="0"/>
        <v>11</v>
      </c>
      <c r="B11" s="27"/>
      <c r="C11" s="34" t="s">
        <v>47</v>
      </c>
      <c r="D11" s="34" t="s">
        <v>48</v>
      </c>
      <c r="E11" s="34" t="s">
        <v>49</v>
      </c>
      <c r="F11" s="34" t="s">
        <v>50</v>
      </c>
      <c r="G11" s="34"/>
      <c r="H11" s="34" t="s">
        <v>48</v>
      </c>
      <c r="I11" s="34" t="s">
        <v>49</v>
      </c>
      <c r="J11" s="34" t="s">
        <v>50</v>
      </c>
      <c r="K11" s="23"/>
      <c r="L11" s="34" t="s">
        <v>51</v>
      </c>
      <c r="M11" s="34" t="s">
        <v>14</v>
      </c>
      <c r="N11" s="34"/>
      <c r="O11" s="34" t="s">
        <v>48</v>
      </c>
      <c r="P11" s="34" t="s">
        <v>49</v>
      </c>
      <c r="Q11" s="34" t="s">
        <v>50</v>
      </c>
      <c r="R11" s="34"/>
      <c r="S11" s="34" t="s">
        <v>51</v>
      </c>
      <c r="T11" s="34" t="s">
        <v>14</v>
      </c>
      <c r="U11" s="23"/>
      <c r="V11" s="34" t="s">
        <v>48</v>
      </c>
      <c r="W11" s="34" t="s">
        <v>49</v>
      </c>
      <c r="X11" s="34" t="s">
        <v>50</v>
      </c>
      <c r="Y11" s="34"/>
      <c r="Z11" s="34" t="s">
        <v>51</v>
      </c>
      <c r="AA11" s="34" t="s">
        <v>14</v>
      </c>
    </row>
    <row r="12" spans="1:27" ht="14" x14ac:dyDescent="0.3">
      <c r="A12" s="67">
        <f t="shared" si="0"/>
        <v>12</v>
      </c>
      <c r="B12" s="27"/>
      <c r="C12" s="76">
        <v>1</v>
      </c>
      <c r="D12" s="135">
        <f t="shared" ref="D12:D22" si="1">ROUND(H$57*$C12+H$56,2)</f>
        <v>30.1</v>
      </c>
      <c r="E12" s="36">
        <f t="shared" ref="E12:E22" si="2">ROUND($H$58*C12,2)</f>
        <v>0.14000000000000001</v>
      </c>
      <c r="F12" s="36">
        <f>SUM(D12:E12)</f>
        <v>30.240000000000002</v>
      </c>
      <c r="G12" s="36"/>
      <c r="H12" s="135">
        <f t="shared" ref="H12:H22" si="3">ROUND(I$57*$C12+I$56,2)</f>
        <v>30.12</v>
      </c>
      <c r="I12" s="36">
        <f t="shared" ref="I12:I22" si="4">ROUND($I$58*C12,2)</f>
        <v>0.14000000000000001</v>
      </c>
      <c r="J12" s="36">
        <f>SUM(H12:I12)</f>
        <v>30.26</v>
      </c>
      <c r="K12" s="37"/>
      <c r="L12" s="36">
        <f>+J12-F12</f>
        <v>1.9999999999999574E-2</v>
      </c>
      <c r="M12" s="39">
        <f>+L12/F12</f>
        <v>6.6137566137564724E-4</v>
      </c>
      <c r="N12" s="39"/>
      <c r="O12" s="135">
        <f>ROUND(J$57*$C12+J$56,2)</f>
        <v>30.12</v>
      </c>
      <c r="P12" s="36">
        <f>ROUND($J$58*C12,2)</f>
        <v>0.14000000000000001</v>
      </c>
      <c r="Q12" s="36">
        <f>SUM(O12:P12)</f>
        <v>30.26</v>
      </c>
      <c r="R12" s="36"/>
      <c r="S12" s="36">
        <f>+Q12-J12</f>
        <v>0</v>
      </c>
      <c r="T12" s="39">
        <f>+S12/J12</f>
        <v>0</v>
      </c>
      <c r="U12" s="23"/>
      <c r="V12" s="135">
        <f>ROUND(L$57*$C12+L$56,2)</f>
        <v>30.12</v>
      </c>
      <c r="W12" s="36">
        <f>ROUND($L$58*C12,2)</f>
        <v>0.14000000000000001</v>
      </c>
      <c r="X12" s="36">
        <f>SUM(V12:W12)</f>
        <v>30.26</v>
      </c>
      <c r="Y12" s="36"/>
      <c r="Z12" s="36">
        <f>X12-Q12</f>
        <v>0</v>
      </c>
      <c r="AA12" s="39">
        <f>+Z12/Q12</f>
        <v>0</v>
      </c>
    </row>
    <row r="13" spans="1:27" ht="14" x14ac:dyDescent="0.3">
      <c r="A13" s="67">
        <f t="shared" si="0"/>
        <v>13</v>
      </c>
      <c r="B13" s="27"/>
      <c r="C13" s="76">
        <v>50</v>
      </c>
      <c r="D13" s="135">
        <f t="shared" si="1"/>
        <v>34.93</v>
      </c>
      <c r="E13" s="36">
        <f t="shared" si="2"/>
        <v>6.99</v>
      </c>
      <c r="F13" s="36">
        <f t="shared" ref="F13:F22" si="5">SUM(D13:E13)</f>
        <v>41.92</v>
      </c>
      <c r="G13" s="36"/>
      <c r="H13" s="135">
        <f>ROUND(I$57*$C13+I$56,2)</f>
        <v>35.86</v>
      </c>
      <c r="I13" s="36">
        <f t="shared" si="4"/>
        <v>6.99</v>
      </c>
      <c r="J13" s="36">
        <f t="shared" ref="J13:J22" si="6">SUM(H13:I13)</f>
        <v>42.85</v>
      </c>
      <c r="K13" s="37"/>
      <c r="L13" s="36">
        <f t="shared" ref="L13:L22" si="7">+J13-F13</f>
        <v>0.92999999999999972</v>
      </c>
      <c r="M13" s="39">
        <f t="shared" ref="M13:M22" si="8">+L13/F13</f>
        <v>2.2185114503816786E-2</v>
      </c>
      <c r="N13" s="39"/>
      <c r="O13" s="135">
        <f t="shared" ref="O13:O22" si="9">ROUND(J$57*$C13+J$56,2)</f>
        <v>36</v>
      </c>
      <c r="P13" s="36">
        <f t="shared" ref="P13:P22" si="10">ROUND($J$58*C13,2)</f>
        <v>6.99</v>
      </c>
      <c r="Q13" s="36">
        <f t="shared" ref="Q13:Q22" si="11">SUM(O13:P13)</f>
        <v>42.99</v>
      </c>
      <c r="R13" s="36"/>
      <c r="S13" s="36">
        <f t="shared" ref="S13:S22" si="12">+Q13-J13</f>
        <v>0.14000000000000057</v>
      </c>
      <c r="T13" s="39">
        <f t="shared" ref="T13:T22" si="13">+S13/J13</f>
        <v>3.2672112018669909E-3</v>
      </c>
      <c r="U13" s="23"/>
      <c r="V13" s="135">
        <f t="shared" ref="V13:V22" si="14">ROUND(L$57*$C13+L$56,2)</f>
        <v>35.99</v>
      </c>
      <c r="W13" s="36">
        <f t="shared" ref="W13:W22" si="15">ROUND($L$58*C13,2)</f>
        <v>6.99</v>
      </c>
      <c r="X13" s="36">
        <f t="shared" ref="X13:X22" si="16">SUM(V13:W13)</f>
        <v>42.980000000000004</v>
      </c>
      <c r="Y13" s="36"/>
      <c r="Z13" s="36">
        <f t="shared" ref="Z13:Z22" si="17">X13-Q13</f>
        <v>-9.9999999999980105E-3</v>
      </c>
      <c r="AA13" s="39">
        <f t="shared" ref="AA13:AA22" si="18">+Z13/Q13</f>
        <v>-2.3261223540353593E-4</v>
      </c>
    </row>
    <row r="14" spans="1:27" ht="14" x14ac:dyDescent="0.3">
      <c r="A14" s="67">
        <f t="shared" si="0"/>
        <v>14</v>
      </c>
      <c r="B14" s="27"/>
      <c r="C14" s="76">
        <v>150</v>
      </c>
      <c r="D14" s="135">
        <f>ROUND(H$57*$C14+H$56,2)</f>
        <v>44.79</v>
      </c>
      <c r="E14" s="36">
        <f t="shared" si="2"/>
        <v>20.97</v>
      </c>
      <c r="F14" s="36">
        <f t="shared" si="5"/>
        <v>65.759999999999991</v>
      </c>
      <c r="G14" s="36"/>
      <c r="H14" s="135">
        <f t="shared" si="3"/>
        <v>47.57</v>
      </c>
      <c r="I14" s="36">
        <f t="shared" si="4"/>
        <v>20.97</v>
      </c>
      <c r="J14" s="36">
        <f t="shared" si="6"/>
        <v>68.539999999999992</v>
      </c>
      <c r="K14" s="37"/>
      <c r="L14" s="36">
        <f>+J14-F14</f>
        <v>2.7800000000000011</v>
      </c>
      <c r="M14" s="39">
        <f t="shared" si="8"/>
        <v>4.2274939172749416E-2</v>
      </c>
      <c r="N14" s="39"/>
      <c r="O14" s="135">
        <f t="shared" si="9"/>
        <v>48.01</v>
      </c>
      <c r="P14" s="36">
        <f t="shared" si="10"/>
        <v>20.97</v>
      </c>
      <c r="Q14" s="36">
        <f t="shared" si="11"/>
        <v>68.97999999999999</v>
      </c>
      <c r="R14" s="36"/>
      <c r="S14" s="36">
        <f t="shared" si="12"/>
        <v>0.43999999999999773</v>
      </c>
      <c r="T14" s="39">
        <f t="shared" si="13"/>
        <v>6.4196089874525497E-3</v>
      </c>
      <c r="U14" s="23"/>
      <c r="V14" s="135">
        <f t="shared" si="14"/>
        <v>47.98</v>
      </c>
      <c r="W14" s="36">
        <f t="shared" si="15"/>
        <v>20.97</v>
      </c>
      <c r="X14" s="36">
        <f t="shared" si="16"/>
        <v>68.949999999999989</v>
      </c>
      <c r="Y14" s="36"/>
      <c r="Z14" s="36">
        <f t="shared" si="17"/>
        <v>-3.0000000000001137E-2</v>
      </c>
      <c r="AA14" s="39">
        <f t="shared" si="18"/>
        <v>-4.3490866917948886E-4</v>
      </c>
    </row>
    <row r="15" spans="1:27" ht="14" x14ac:dyDescent="0.3">
      <c r="A15" s="67">
        <f t="shared" si="0"/>
        <v>15</v>
      </c>
      <c r="B15" s="27"/>
      <c r="C15" s="76">
        <v>275</v>
      </c>
      <c r="D15" s="135">
        <f t="shared" si="1"/>
        <v>57.12</v>
      </c>
      <c r="E15" s="36">
        <f t="shared" si="2"/>
        <v>38.450000000000003</v>
      </c>
      <c r="F15" s="36">
        <f t="shared" si="5"/>
        <v>95.57</v>
      </c>
      <c r="G15" s="36"/>
      <c r="H15" s="135">
        <f t="shared" si="3"/>
        <v>62.21</v>
      </c>
      <c r="I15" s="36">
        <f t="shared" si="4"/>
        <v>38.450000000000003</v>
      </c>
      <c r="J15" s="36">
        <f t="shared" si="6"/>
        <v>100.66</v>
      </c>
      <c r="K15" s="37"/>
      <c r="L15" s="36">
        <f t="shared" si="7"/>
        <v>5.0900000000000034</v>
      </c>
      <c r="M15" s="39">
        <f t="shared" si="8"/>
        <v>5.325939102228737E-2</v>
      </c>
      <c r="N15" s="39"/>
      <c r="O15" s="135">
        <f>ROUND(J$57*$C15+J$56,2)</f>
        <v>63.02</v>
      </c>
      <c r="P15" s="36">
        <f t="shared" si="10"/>
        <v>38.450000000000003</v>
      </c>
      <c r="Q15" s="36">
        <f t="shared" si="11"/>
        <v>101.47</v>
      </c>
      <c r="R15" s="36"/>
      <c r="S15" s="36">
        <f t="shared" si="12"/>
        <v>0.81000000000000227</v>
      </c>
      <c r="T15" s="39">
        <f t="shared" si="13"/>
        <v>8.0468905225511856E-3</v>
      </c>
      <c r="U15" s="23"/>
      <c r="V15" s="135">
        <f>ROUND(L$57*$C15+L$56,2)</f>
        <v>62.96</v>
      </c>
      <c r="W15" s="36">
        <f t="shared" si="15"/>
        <v>38.450000000000003</v>
      </c>
      <c r="X15" s="36">
        <f t="shared" si="16"/>
        <v>101.41</v>
      </c>
      <c r="Y15" s="36"/>
      <c r="Z15" s="36">
        <f t="shared" si="17"/>
        <v>-6.0000000000002274E-2</v>
      </c>
      <c r="AA15" s="39">
        <f t="shared" si="18"/>
        <v>-5.9130777569727281E-4</v>
      </c>
    </row>
    <row r="16" spans="1:27" ht="14" x14ac:dyDescent="0.3">
      <c r="A16" s="67">
        <f t="shared" si="0"/>
        <v>16</v>
      </c>
      <c r="B16" s="27"/>
      <c r="C16" s="76">
        <v>450</v>
      </c>
      <c r="D16" s="135">
        <f t="shared" si="1"/>
        <v>74.37</v>
      </c>
      <c r="E16" s="36">
        <f t="shared" si="2"/>
        <v>62.92</v>
      </c>
      <c r="F16" s="36">
        <f t="shared" si="5"/>
        <v>137.29000000000002</v>
      </c>
      <c r="G16" s="36"/>
      <c r="H16" s="135">
        <f t="shared" si="3"/>
        <v>82.7</v>
      </c>
      <c r="I16" s="36">
        <f t="shared" si="4"/>
        <v>62.92</v>
      </c>
      <c r="J16" s="36">
        <f t="shared" si="6"/>
        <v>145.62</v>
      </c>
      <c r="K16" s="37"/>
      <c r="L16" s="36">
        <f t="shared" si="7"/>
        <v>8.3299999999999841</v>
      </c>
      <c r="M16" s="39">
        <f t="shared" si="8"/>
        <v>6.0674484667492042E-2</v>
      </c>
      <c r="N16" s="39"/>
      <c r="O16" s="135">
        <f t="shared" si="9"/>
        <v>84.03</v>
      </c>
      <c r="P16" s="36">
        <f t="shared" si="10"/>
        <v>62.92</v>
      </c>
      <c r="Q16" s="36">
        <f t="shared" si="11"/>
        <v>146.94999999999999</v>
      </c>
      <c r="R16" s="36"/>
      <c r="S16" s="36">
        <f t="shared" si="12"/>
        <v>1.3299999999999841</v>
      </c>
      <c r="T16" s="39">
        <f t="shared" si="13"/>
        <v>9.1333608020875163E-3</v>
      </c>
      <c r="U16" s="23"/>
      <c r="V16" s="135">
        <f t="shared" si="14"/>
        <v>83.94</v>
      </c>
      <c r="W16" s="36">
        <f t="shared" si="15"/>
        <v>62.92</v>
      </c>
      <c r="X16" s="36">
        <f t="shared" si="16"/>
        <v>146.86000000000001</v>
      </c>
      <c r="Y16" s="36"/>
      <c r="Z16" s="36">
        <f t="shared" si="17"/>
        <v>-8.9999999999974989E-2</v>
      </c>
      <c r="AA16" s="39">
        <f t="shared" si="18"/>
        <v>-6.1245321537921056E-4</v>
      </c>
    </row>
    <row r="17" spans="1:27" ht="14" x14ac:dyDescent="0.3">
      <c r="A17" s="67">
        <f t="shared" si="0"/>
        <v>17</v>
      </c>
      <c r="B17" s="27"/>
      <c r="C17" s="76">
        <v>700</v>
      </c>
      <c r="D17" s="135">
        <f>ROUND(H$57*$C17+H$56,2)</f>
        <v>99.03</v>
      </c>
      <c r="E17" s="36">
        <f>ROUND($H$58*C17,2)</f>
        <v>97.87</v>
      </c>
      <c r="F17" s="36">
        <f t="shared" si="5"/>
        <v>196.9</v>
      </c>
      <c r="G17" s="36"/>
      <c r="H17" s="135">
        <f t="shared" si="3"/>
        <v>111.98</v>
      </c>
      <c r="I17" s="36">
        <f>ROUND($I$58*C17,2)</f>
        <v>97.87</v>
      </c>
      <c r="J17" s="36">
        <f t="shared" si="6"/>
        <v>209.85000000000002</v>
      </c>
      <c r="K17" s="37"/>
      <c r="L17" s="36">
        <f t="shared" si="7"/>
        <v>12.950000000000017</v>
      </c>
      <c r="M17" s="39">
        <f t="shared" si="8"/>
        <v>6.576942610462172E-2</v>
      </c>
      <c r="N17" s="39"/>
      <c r="O17" s="135">
        <f t="shared" si="9"/>
        <v>114.05</v>
      </c>
      <c r="P17" s="36">
        <f t="shared" si="10"/>
        <v>97.87</v>
      </c>
      <c r="Q17" s="36">
        <f t="shared" si="11"/>
        <v>211.92000000000002</v>
      </c>
      <c r="R17" s="36"/>
      <c r="S17" s="36">
        <f t="shared" si="12"/>
        <v>2.0699999999999932</v>
      </c>
      <c r="T17" s="39">
        <f t="shared" si="13"/>
        <v>9.8641887062186941E-3</v>
      </c>
      <c r="U17" s="23"/>
      <c r="V17" s="135">
        <f t="shared" si="14"/>
        <v>113.91</v>
      </c>
      <c r="W17" s="36">
        <f t="shared" si="15"/>
        <v>97.87</v>
      </c>
      <c r="X17" s="36">
        <f t="shared" si="16"/>
        <v>211.78</v>
      </c>
      <c r="Y17" s="36"/>
      <c r="Z17" s="36">
        <f t="shared" si="17"/>
        <v>-0.14000000000001478</v>
      </c>
      <c r="AA17" s="39">
        <f t="shared" si="18"/>
        <v>-6.6062665156669859E-4</v>
      </c>
    </row>
    <row r="18" spans="1:27" ht="14" x14ac:dyDescent="0.3">
      <c r="A18" s="67">
        <f t="shared" si="0"/>
        <v>18</v>
      </c>
      <c r="B18" s="27"/>
      <c r="C18" s="76">
        <v>1200</v>
      </c>
      <c r="D18" s="135">
        <f t="shared" si="1"/>
        <v>148.33000000000001</v>
      </c>
      <c r="E18" s="36">
        <f t="shared" si="2"/>
        <v>167.78</v>
      </c>
      <c r="F18" s="36">
        <f t="shared" si="5"/>
        <v>316.11</v>
      </c>
      <c r="G18" s="36"/>
      <c r="H18" s="135">
        <f t="shared" si="3"/>
        <v>170.54</v>
      </c>
      <c r="I18" s="36">
        <f>ROUND($I$58*C18,2)</f>
        <v>167.78</v>
      </c>
      <c r="J18" s="36">
        <f t="shared" si="6"/>
        <v>338.32</v>
      </c>
      <c r="K18" s="37"/>
      <c r="L18" s="36">
        <f t="shared" si="7"/>
        <v>22.20999999999998</v>
      </c>
      <c r="M18" s="39">
        <f t="shared" si="8"/>
        <v>7.0260352408971494E-2</v>
      </c>
      <c r="N18" s="39"/>
      <c r="O18" s="135">
        <f t="shared" si="9"/>
        <v>174.08</v>
      </c>
      <c r="P18" s="36">
        <f>ROUND($J$58*C18,2)</f>
        <v>167.78</v>
      </c>
      <c r="Q18" s="36">
        <f t="shared" si="11"/>
        <v>341.86</v>
      </c>
      <c r="R18" s="36"/>
      <c r="S18" s="36">
        <f t="shared" si="12"/>
        <v>3.5400000000000205</v>
      </c>
      <c r="T18" s="39">
        <f t="shared" si="13"/>
        <v>1.0463466540553383E-2</v>
      </c>
      <c r="U18" s="23"/>
      <c r="V18" s="135">
        <f t="shared" si="14"/>
        <v>173.84</v>
      </c>
      <c r="W18" s="36">
        <f>ROUND($L$58*C18,2)</f>
        <v>167.78</v>
      </c>
      <c r="X18" s="36">
        <f t="shared" si="16"/>
        <v>341.62</v>
      </c>
      <c r="Y18" s="36"/>
      <c r="Z18" s="36">
        <f t="shared" si="17"/>
        <v>-0.24000000000000909</v>
      </c>
      <c r="AA18" s="39">
        <f t="shared" si="18"/>
        <v>-7.0204177148542994E-4</v>
      </c>
    </row>
    <row r="19" spans="1:27" ht="14" x14ac:dyDescent="0.3">
      <c r="A19" s="67">
        <f t="shared" si="0"/>
        <v>19</v>
      </c>
      <c r="B19" s="27"/>
      <c r="C19" s="76">
        <v>2000</v>
      </c>
      <c r="D19" s="135">
        <f t="shared" si="1"/>
        <v>227.22</v>
      </c>
      <c r="E19" s="36">
        <f t="shared" si="2"/>
        <v>279.64</v>
      </c>
      <c r="F19" s="36">
        <f t="shared" si="5"/>
        <v>506.86</v>
      </c>
      <c r="G19" s="36"/>
      <c r="H19" s="135">
        <f>ROUND(I$57*$C19+I$56,2)</f>
        <v>264.24</v>
      </c>
      <c r="I19" s="36">
        <f t="shared" si="4"/>
        <v>279.64</v>
      </c>
      <c r="J19" s="36">
        <f t="shared" si="6"/>
        <v>543.88</v>
      </c>
      <c r="K19" s="37"/>
      <c r="L19" s="36">
        <f t="shared" si="7"/>
        <v>37.019999999999982</v>
      </c>
      <c r="M19" s="39">
        <f t="shared" si="8"/>
        <v>7.3037919741151369E-2</v>
      </c>
      <c r="N19" s="39"/>
      <c r="O19" s="135">
        <f t="shared" si="9"/>
        <v>270.14</v>
      </c>
      <c r="P19" s="36">
        <f t="shared" si="10"/>
        <v>279.64</v>
      </c>
      <c r="Q19" s="36">
        <f t="shared" si="11"/>
        <v>549.78</v>
      </c>
      <c r="R19" s="36"/>
      <c r="S19" s="36">
        <f t="shared" si="12"/>
        <v>5.8999999999999773</v>
      </c>
      <c r="T19" s="39">
        <f t="shared" si="13"/>
        <v>1.084798117231738E-2</v>
      </c>
      <c r="U19" s="23"/>
      <c r="V19" s="135">
        <f t="shared" si="14"/>
        <v>269.74</v>
      </c>
      <c r="W19" s="36">
        <f t="shared" si="15"/>
        <v>279.64</v>
      </c>
      <c r="X19" s="36">
        <f t="shared" si="16"/>
        <v>549.38</v>
      </c>
      <c r="Y19" s="36"/>
      <c r="Z19" s="36">
        <f t="shared" si="17"/>
        <v>-0.39999999999997726</v>
      </c>
      <c r="AA19" s="39">
        <f t="shared" si="18"/>
        <v>-7.2756375277379553E-4</v>
      </c>
    </row>
    <row r="20" spans="1:27" ht="14" x14ac:dyDescent="0.3">
      <c r="A20" s="67">
        <f t="shared" si="0"/>
        <v>20</v>
      </c>
      <c r="C20" s="76">
        <v>4000</v>
      </c>
      <c r="D20" s="135">
        <f t="shared" si="1"/>
        <v>424.44</v>
      </c>
      <c r="E20" s="36">
        <f t="shared" si="2"/>
        <v>559.28</v>
      </c>
      <c r="F20" s="36">
        <f t="shared" si="5"/>
        <v>983.72</v>
      </c>
      <c r="G20" s="36"/>
      <c r="H20" s="135">
        <f t="shared" si="3"/>
        <v>498.48</v>
      </c>
      <c r="I20" s="36">
        <f t="shared" si="4"/>
        <v>559.28</v>
      </c>
      <c r="J20" s="36">
        <f t="shared" si="6"/>
        <v>1057.76</v>
      </c>
      <c r="K20" s="37"/>
      <c r="L20" s="36">
        <f t="shared" si="7"/>
        <v>74.039999999999964</v>
      </c>
      <c r="M20" s="39">
        <f t="shared" si="8"/>
        <v>7.5265319399829181E-2</v>
      </c>
      <c r="N20" s="39"/>
      <c r="O20" s="135">
        <f t="shared" si="9"/>
        <v>510.28</v>
      </c>
      <c r="P20" s="36">
        <f t="shared" si="10"/>
        <v>559.28</v>
      </c>
      <c r="Q20" s="36">
        <f t="shared" si="11"/>
        <v>1069.56</v>
      </c>
      <c r="R20" s="36"/>
      <c r="S20" s="36">
        <f t="shared" si="12"/>
        <v>11.799999999999955</v>
      </c>
      <c r="T20" s="39">
        <f t="shared" si="13"/>
        <v>1.1155649674784407E-2</v>
      </c>
      <c r="U20" s="23"/>
      <c r="V20" s="135">
        <f t="shared" si="14"/>
        <v>509.48</v>
      </c>
      <c r="W20" s="36">
        <f t="shared" si="15"/>
        <v>559.28</v>
      </c>
      <c r="X20" s="36">
        <f t="shared" si="16"/>
        <v>1068.76</v>
      </c>
      <c r="Y20" s="36"/>
      <c r="Z20" s="36">
        <f t="shared" si="17"/>
        <v>-0.79999999999995453</v>
      </c>
      <c r="AA20" s="39">
        <f t="shared" si="18"/>
        <v>-7.4797112831440462E-4</v>
      </c>
    </row>
    <row r="21" spans="1:27" ht="14" x14ac:dyDescent="0.3">
      <c r="A21" s="67">
        <f t="shared" si="0"/>
        <v>21</v>
      </c>
      <c r="B21" s="78"/>
      <c r="C21" s="76">
        <v>12600</v>
      </c>
      <c r="D21" s="135">
        <f t="shared" si="1"/>
        <v>1272.49</v>
      </c>
      <c r="E21" s="36">
        <f>ROUND($H$58*C21,2)</f>
        <v>1761.73</v>
      </c>
      <c r="F21" s="36">
        <f t="shared" si="5"/>
        <v>3034.2200000000003</v>
      </c>
      <c r="G21" s="36"/>
      <c r="H21" s="135">
        <f t="shared" si="3"/>
        <v>1505.71</v>
      </c>
      <c r="I21" s="36">
        <f t="shared" si="4"/>
        <v>1761.73</v>
      </c>
      <c r="J21" s="36">
        <f t="shared" si="6"/>
        <v>3267.44</v>
      </c>
      <c r="K21" s="37"/>
      <c r="L21" s="36">
        <f t="shared" si="7"/>
        <v>233.2199999999998</v>
      </c>
      <c r="M21" s="39">
        <f t="shared" si="8"/>
        <v>7.686324656748679E-2</v>
      </c>
      <c r="N21" s="39"/>
      <c r="O21" s="135">
        <f t="shared" si="9"/>
        <v>1542.88</v>
      </c>
      <c r="P21" s="36">
        <f t="shared" si="10"/>
        <v>1761.73</v>
      </c>
      <c r="Q21" s="36">
        <f t="shared" si="11"/>
        <v>3304.61</v>
      </c>
      <c r="R21" s="36"/>
      <c r="S21" s="36">
        <f t="shared" si="12"/>
        <v>37.170000000000073</v>
      </c>
      <c r="T21" s="39">
        <f t="shared" si="13"/>
        <v>1.1375878363489482E-2</v>
      </c>
      <c r="U21" s="23"/>
      <c r="V21" s="135">
        <f t="shared" si="14"/>
        <v>1540.36</v>
      </c>
      <c r="W21" s="36">
        <f t="shared" si="15"/>
        <v>1761.73</v>
      </c>
      <c r="X21" s="36">
        <f t="shared" si="16"/>
        <v>3302.09</v>
      </c>
      <c r="Y21" s="36"/>
      <c r="Z21" s="36">
        <f t="shared" si="17"/>
        <v>-2.5199999999999818</v>
      </c>
      <c r="AA21" s="39">
        <f t="shared" si="18"/>
        <v>-7.6257107495286333E-4</v>
      </c>
    </row>
    <row r="22" spans="1:27" ht="14" x14ac:dyDescent="0.3">
      <c r="A22" s="67">
        <f t="shared" si="0"/>
        <v>22</v>
      </c>
      <c r="B22" s="77" t="s">
        <v>52</v>
      </c>
      <c r="C22" s="76">
        <v>2140</v>
      </c>
      <c r="D22" s="135">
        <f t="shared" si="1"/>
        <v>241.03</v>
      </c>
      <c r="E22" s="36">
        <f t="shared" si="2"/>
        <v>299.20999999999998</v>
      </c>
      <c r="F22" s="135">
        <f t="shared" si="5"/>
        <v>540.24</v>
      </c>
      <c r="G22" s="136"/>
      <c r="H22" s="135">
        <f t="shared" si="3"/>
        <v>280.64</v>
      </c>
      <c r="I22" s="36">
        <f t="shared" si="4"/>
        <v>299.20999999999998</v>
      </c>
      <c r="J22" s="135">
        <f t="shared" si="6"/>
        <v>579.84999999999991</v>
      </c>
      <c r="K22" s="136"/>
      <c r="L22" s="135">
        <f t="shared" si="7"/>
        <v>39.6099999999999</v>
      </c>
      <c r="M22" s="137">
        <f t="shared" si="8"/>
        <v>7.3319265511624279E-2</v>
      </c>
      <c r="N22" s="137"/>
      <c r="O22" s="135">
        <f t="shared" si="9"/>
        <v>286.95</v>
      </c>
      <c r="P22" s="36">
        <f t="shared" si="10"/>
        <v>299.20999999999998</v>
      </c>
      <c r="Q22" s="135">
        <f t="shared" si="11"/>
        <v>586.16</v>
      </c>
      <c r="R22" s="137"/>
      <c r="S22" s="36">
        <f t="shared" si="12"/>
        <v>6.3100000000000591</v>
      </c>
      <c r="T22" s="39">
        <f t="shared" si="13"/>
        <v>1.0882124687419264E-2</v>
      </c>
      <c r="U22" s="137"/>
      <c r="V22" s="135">
        <f t="shared" si="14"/>
        <v>286.52</v>
      </c>
      <c r="W22" s="36">
        <f t="shared" si="15"/>
        <v>299.20999999999998</v>
      </c>
      <c r="X22" s="135">
        <f t="shared" si="16"/>
        <v>585.73</v>
      </c>
      <c r="Y22" s="138"/>
      <c r="Z22" s="36">
        <f t="shared" si="17"/>
        <v>-0.42999999999994998</v>
      </c>
      <c r="AA22" s="39">
        <f t="shared" si="18"/>
        <v>-7.3358809881252562E-4</v>
      </c>
    </row>
    <row r="23" spans="1:27" ht="14" x14ac:dyDescent="0.3">
      <c r="A23" s="67">
        <f t="shared" si="0"/>
        <v>23</v>
      </c>
      <c r="B23" s="77"/>
      <c r="C23" s="28"/>
      <c r="D23" s="37"/>
      <c r="E23" s="37"/>
      <c r="F23" s="37"/>
      <c r="G23" s="37"/>
      <c r="H23" s="37"/>
      <c r="I23" s="37"/>
      <c r="J23" s="37"/>
      <c r="K23" s="37"/>
      <c r="L23" s="37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28"/>
      <c r="X23" s="75"/>
    </row>
    <row r="24" spans="1:27" ht="14" x14ac:dyDescent="0.3">
      <c r="A24" s="67">
        <f t="shared" si="0"/>
        <v>24</v>
      </c>
      <c r="B24" s="77"/>
      <c r="C24" s="28"/>
      <c r="D24" s="37"/>
      <c r="E24" s="37"/>
      <c r="F24" s="37"/>
      <c r="G24" s="37"/>
      <c r="H24" s="37"/>
      <c r="I24" s="37"/>
      <c r="J24" s="37"/>
      <c r="K24" s="37"/>
      <c r="L24" s="37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28"/>
      <c r="X24" s="75"/>
    </row>
    <row r="25" spans="1:27" ht="14" x14ac:dyDescent="0.3">
      <c r="A25" s="67">
        <f t="shared" si="0"/>
        <v>25</v>
      </c>
      <c r="B25" s="27"/>
      <c r="C25" s="28" t="s">
        <v>53</v>
      </c>
      <c r="D25" s="37"/>
      <c r="E25" s="37"/>
      <c r="G25" s="83"/>
      <c r="H25" s="45">
        <f>'EMA R1'!H28</f>
        <v>2024</v>
      </c>
      <c r="I25" s="45">
        <f>'EMA R1'!I28</f>
        <v>2025</v>
      </c>
      <c r="J25" s="45">
        <f>'EMA R1'!J28</f>
        <v>2026</v>
      </c>
      <c r="K25" s="45"/>
      <c r="L25" s="45">
        <f>'EMA R1'!L28</f>
        <v>2027</v>
      </c>
      <c r="M25" s="45" t="str">
        <f>'EMA R1'!M28</f>
        <v>2025 v 2024</v>
      </c>
      <c r="N25" s="45"/>
      <c r="O25" s="45" t="str">
        <f>'EMA R1'!O28</f>
        <v>2026 v 2025</v>
      </c>
      <c r="P25" s="45" t="str">
        <f>'EMA R1'!P28</f>
        <v>2027 v 2026</v>
      </c>
      <c r="Q25" s="30"/>
      <c r="R25" s="30"/>
      <c r="S25" s="30"/>
      <c r="T25" s="30"/>
      <c r="U25" s="30"/>
      <c r="V25" s="30"/>
      <c r="W25" s="28"/>
      <c r="X25" s="75"/>
    </row>
    <row r="26" spans="1:27" ht="15.5" x14ac:dyDescent="0.45">
      <c r="A26" s="67">
        <f t="shared" si="0"/>
        <v>26</v>
      </c>
      <c r="B26" s="27"/>
      <c r="C26" s="23" t="s">
        <v>53</v>
      </c>
      <c r="D26" s="37"/>
      <c r="E26" s="37"/>
      <c r="G26" s="85"/>
      <c r="H26" s="47" t="str">
        <f>+'BOS G1ND'!H27</f>
        <v>Rates</v>
      </c>
      <c r="I26" s="47" t="s">
        <v>57</v>
      </c>
      <c r="J26" s="47" t="s">
        <v>57</v>
      </c>
      <c r="K26" s="37"/>
      <c r="L26" s="47" t="s">
        <v>57</v>
      </c>
      <c r="M26" s="48" t="s">
        <v>51</v>
      </c>
      <c r="N26" s="22"/>
      <c r="O26" s="48" t="s">
        <v>51</v>
      </c>
      <c r="P26" s="48" t="s">
        <v>51</v>
      </c>
      <c r="Q26" s="30"/>
      <c r="R26" s="30"/>
      <c r="S26" s="30"/>
      <c r="T26" s="30"/>
      <c r="U26" s="30"/>
      <c r="V26" s="30"/>
      <c r="W26" s="28"/>
      <c r="X26" s="75"/>
    </row>
    <row r="27" spans="1:27" ht="14" x14ac:dyDescent="0.3">
      <c r="A27" s="67">
        <f t="shared" si="0"/>
        <v>27</v>
      </c>
      <c r="B27" s="27"/>
      <c r="C27" s="28" t="s">
        <v>58</v>
      </c>
      <c r="D27" s="86"/>
      <c r="E27" s="86"/>
      <c r="G27" s="87"/>
      <c r="H27" s="88">
        <v>30</v>
      </c>
      <c r="I27" s="49">
        <f t="shared" ref="I27:I54" si="19">+H27</f>
        <v>30</v>
      </c>
      <c r="J27" s="49">
        <f t="shared" ref="J27:J54" si="20">H27</f>
        <v>30</v>
      </c>
      <c r="K27" s="37"/>
      <c r="L27" s="49">
        <f t="shared" ref="L27:L54" si="21">H27</f>
        <v>30</v>
      </c>
      <c r="M27" s="50">
        <f t="shared" ref="M27:M54" si="22">+I27-H27</f>
        <v>0</v>
      </c>
      <c r="N27" s="50"/>
      <c r="O27" s="50">
        <f t="shared" ref="O27:O54" si="23">+J27-I27</f>
        <v>0</v>
      </c>
      <c r="P27" s="50">
        <f t="shared" ref="P27:P54" si="24">+L27-J27</f>
        <v>0</v>
      </c>
      <c r="Q27" s="89" t="s">
        <v>59</v>
      </c>
      <c r="R27" s="30"/>
      <c r="S27" s="30"/>
      <c r="T27" s="30"/>
      <c r="U27" s="30"/>
      <c r="V27" s="30"/>
      <c r="W27" s="28"/>
    </row>
    <row r="28" spans="1:27" ht="14" x14ac:dyDescent="0.3">
      <c r="A28" s="67">
        <f t="shared" si="0"/>
        <v>28</v>
      </c>
      <c r="B28" s="27"/>
      <c r="C28" s="28" t="s">
        <v>60</v>
      </c>
      <c r="D28" s="86"/>
      <c r="E28" s="86"/>
      <c r="G28" s="90"/>
      <c r="H28" s="91">
        <v>3.9539999999999999E-2</v>
      </c>
      <c r="I28" s="53">
        <f t="shared" si="19"/>
        <v>3.9539999999999999E-2</v>
      </c>
      <c r="J28" s="53">
        <f t="shared" si="20"/>
        <v>3.9539999999999999E-2</v>
      </c>
      <c r="K28" s="37"/>
      <c r="L28" s="53">
        <f t="shared" si="21"/>
        <v>3.9539999999999999E-2</v>
      </c>
      <c r="M28" s="54">
        <f t="shared" si="22"/>
        <v>0</v>
      </c>
      <c r="N28" s="54"/>
      <c r="O28" s="54">
        <f t="shared" si="23"/>
        <v>0</v>
      </c>
      <c r="P28" s="54">
        <f t="shared" si="24"/>
        <v>0</v>
      </c>
      <c r="Q28" s="89" t="s">
        <v>59</v>
      </c>
      <c r="W28" s="28"/>
    </row>
    <row r="29" spans="1:27" ht="14" x14ac:dyDescent="0.3">
      <c r="A29" s="67">
        <f t="shared" si="0"/>
        <v>29</v>
      </c>
      <c r="B29" s="27"/>
      <c r="C29" s="28" t="str">
        <f>+'BOS G1ND'!C30</f>
        <v>Exogenous Cost Adjustment</v>
      </c>
      <c r="D29" s="37"/>
      <c r="E29" s="37"/>
      <c r="G29" s="92"/>
      <c r="H29" s="91">
        <v>7.5000000000000002E-4</v>
      </c>
      <c r="I29" s="53">
        <f t="shared" si="19"/>
        <v>7.5000000000000002E-4</v>
      </c>
      <c r="J29" s="53">
        <f t="shared" si="20"/>
        <v>7.5000000000000002E-4</v>
      </c>
      <c r="K29" s="37"/>
      <c r="L29" s="53">
        <f t="shared" si="21"/>
        <v>7.5000000000000002E-4</v>
      </c>
      <c r="M29" s="54">
        <f t="shared" si="22"/>
        <v>0</v>
      </c>
      <c r="N29" s="54"/>
      <c r="O29" s="54">
        <f t="shared" si="23"/>
        <v>0</v>
      </c>
      <c r="P29" s="54">
        <f t="shared" si="24"/>
        <v>0</v>
      </c>
      <c r="Q29" s="89" t="str">
        <f>+'BOS G1ND'!Q30</f>
        <v>ECA</v>
      </c>
      <c r="W29" s="28"/>
    </row>
    <row r="30" spans="1:27" ht="14" x14ac:dyDescent="0.3">
      <c r="A30" s="67">
        <f t="shared" si="0"/>
        <v>30</v>
      </c>
      <c r="B30" s="27"/>
      <c r="C30" s="28" t="str">
        <f>+'BOS G1ND'!C31</f>
        <v>Revenue Decoupling</v>
      </c>
      <c r="D30" s="86"/>
      <c r="E30" s="86"/>
      <c r="G30" s="92"/>
      <c r="H30" s="91">
        <v>4.0000000000000003E-5</v>
      </c>
      <c r="I30" s="53">
        <f t="shared" si="19"/>
        <v>4.0000000000000003E-5</v>
      </c>
      <c r="J30" s="53">
        <f t="shared" si="20"/>
        <v>4.0000000000000003E-5</v>
      </c>
      <c r="K30" s="37"/>
      <c r="L30" s="53">
        <f t="shared" si="21"/>
        <v>4.0000000000000003E-5</v>
      </c>
      <c r="M30" s="54">
        <f t="shared" si="22"/>
        <v>0</v>
      </c>
      <c r="N30" s="54"/>
      <c r="O30" s="54">
        <f t="shared" si="23"/>
        <v>0</v>
      </c>
      <c r="P30" s="54">
        <f t="shared" si="24"/>
        <v>0</v>
      </c>
      <c r="Q30" s="89" t="str">
        <f>+'BOS G1ND'!Q31</f>
        <v>RDAF</v>
      </c>
      <c r="R30" s="93"/>
      <c r="S30" s="93"/>
      <c r="T30" s="93"/>
      <c r="U30" s="93"/>
      <c r="V30" s="93"/>
      <c r="W30" s="28"/>
    </row>
    <row r="31" spans="1:27" ht="14" x14ac:dyDescent="0.3">
      <c r="A31" s="67">
        <f t="shared" si="0"/>
        <v>31</v>
      </c>
      <c r="B31" s="27"/>
      <c r="C31" s="28" t="str">
        <f>+'BOS G1ND'!C32</f>
        <v>Distributed Solar Charge</v>
      </c>
      <c r="D31" s="86"/>
      <c r="E31" s="86"/>
      <c r="G31" s="92"/>
      <c r="H31" s="91">
        <v>5.8999999999999999E-3</v>
      </c>
      <c r="I31" s="53">
        <f t="shared" si="19"/>
        <v>5.8999999999999999E-3</v>
      </c>
      <c r="J31" s="53">
        <f t="shared" si="20"/>
        <v>5.8999999999999999E-3</v>
      </c>
      <c r="K31" s="37"/>
      <c r="L31" s="53">
        <f t="shared" si="21"/>
        <v>5.8999999999999999E-3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89" t="str">
        <f>+'BOS G1ND'!Q32</f>
        <v>SMART</v>
      </c>
      <c r="R31" s="93"/>
      <c r="S31" s="93"/>
      <c r="T31" s="93"/>
      <c r="U31" s="93"/>
      <c r="V31" s="93"/>
      <c r="W31" s="28"/>
    </row>
    <row r="32" spans="1:27" ht="14" x14ac:dyDescent="0.3">
      <c r="A32" s="67">
        <f t="shared" si="0"/>
        <v>32</v>
      </c>
      <c r="B32" s="27"/>
      <c r="C32" s="28" t="str">
        <f>+'BOS G1ND'!C33</f>
        <v>Residential Assistance Adjustment Factor</v>
      </c>
      <c r="D32" s="86"/>
      <c r="E32" s="86"/>
      <c r="G32" s="92"/>
      <c r="H32" s="53">
        <v>6.0200000000000002E-3</v>
      </c>
      <c r="I32" s="53">
        <f t="shared" si="19"/>
        <v>6.0200000000000002E-3</v>
      </c>
      <c r="J32" s="53">
        <f t="shared" si="20"/>
        <v>6.0200000000000002E-3</v>
      </c>
      <c r="K32" s="37"/>
      <c r="L32" s="53">
        <f t="shared" si="21"/>
        <v>6.0200000000000002E-3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89" t="str">
        <f>+'BOS G1ND'!Q33</f>
        <v>RAAF</v>
      </c>
      <c r="R32" s="93"/>
      <c r="S32" s="93"/>
      <c r="T32" s="93"/>
      <c r="U32" s="93"/>
      <c r="V32" s="93"/>
      <c r="W32" s="28"/>
    </row>
    <row r="33" spans="1:23" ht="14" x14ac:dyDescent="0.3">
      <c r="A33" s="67">
        <f t="shared" si="0"/>
        <v>33</v>
      </c>
      <c r="B33" s="27"/>
      <c r="C33" s="28" t="str">
        <f>+'BOS G1ND'!C34</f>
        <v>Pension Adjustment Factor</v>
      </c>
      <c r="D33" s="37"/>
      <c r="E33" s="37"/>
      <c r="G33" s="92"/>
      <c r="H33" s="53">
        <v>5.8E-4</v>
      </c>
      <c r="I33" s="53">
        <f t="shared" si="19"/>
        <v>5.8E-4</v>
      </c>
      <c r="J33" s="53">
        <f t="shared" si="20"/>
        <v>5.8E-4</v>
      </c>
      <c r="K33" s="37"/>
      <c r="L33" s="53">
        <f t="shared" si="21"/>
        <v>5.8E-4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89" t="str">
        <f>+'BOS G1ND'!Q34</f>
        <v>PAF</v>
      </c>
      <c r="R33" s="93"/>
      <c r="S33" s="93"/>
      <c r="T33" s="93"/>
      <c r="U33" s="93"/>
      <c r="V33" s="93"/>
      <c r="W33" s="28"/>
    </row>
    <row r="34" spans="1:23" ht="14" x14ac:dyDescent="0.3">
      <c r="A34" s="67">
        <f t="shared" si="0"/>
        <v>34</v>
      </c>
      <c r="B34" s="27"/>
      <c r="C34" s="28" t="str">
        <f>+'BOS G1ND'!C35</f>
        <v>Net Metering Recovery Surcharge</v>
      </c>
      <c r="D34" s="86"/>
      <c r="E34" s="86"/>
      <c r="G34" s="92"/>
      <c r="H34" s="91">
        <v>1.197E-2</v>
      </c>
      <c r="I34" s="53">
        <f t="shared" si="19"/>
        <v>1.197E-2</v>
      </c>
      <c r="J34" s="53">
        <f t="shared" si="20"/>
        <v>1.197E-2</v>
      </c>
      <c r="K34" s="37"/>
      <c r="L34" s="53">
        <f t="shared" si="21"/>
        <v>1.197E-2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89" t="str">
        <f>+'BOS G1ND'!Q35</f>
        <v>NMRS</v>
      </c>
      <c r="R34" s="93"/>
      <c r="S34" s="93"/>
      <c r="T34" s="93"/>
      <c r="U34" s="93"/>
      <c r="V34" s="93"/>
      <c r="W34" s="28"/>
    </row>
    <row r="35" spans="1:23" ht="14" x14ac:dyDescent="0.3">
      <c r="A35" s="67">
        <f t="shared" si="0"/>
        <v>35</v>
      </c>
      <c r="B35" s="27"/>
      <c r="C35" s="28" t="str">
        <f>+'BOS G1ND'!C36</f>
        <v>Long Term Renewable Contract Adjustment</v>
      </c>
      <c r="D35" s="86"/>
      <c r="E35" s="86"/>
      <c r="G35" s="92"/>
      <c r="H35" s="53">
        <v>-1.9300000000000001E-3</v>
      </c>
      <c r="I35" s="53">
        <f t="shared" si="19"/>
        <v>-1.9300000000000001E-3</v>
      </c>
      <c r="J35" s="53">
        <f t="shared" si="20"/>
        <v>-1.9300000000000001E-3</v>
      </c>
      <c r="K35" s="37"/>
      <c r="L35" s="53">
        <f t="shared" si="21"/>
        <v>-1.9300000000000001E-3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89" t="str">
        <f>+'BOS G1ND'!Q36</f>
        <v>LTRCA</v>
      </c>
      <c r="R35" s="93"/>
      <c r="S35" s="93"/>
      <c r="T35" s="93"/>
      <c r="U35" s="93"/>
      <c r="V35" s="93"/>
      <c r="W35" s="28"/>
    </row>
    <row r="36" spans="1:23" ht="14" x14ac:dyDescent="0.3">
      <c r="A36" s="67">
        <f t="shared" si="0"/>
        <v>36</v>
      </c>
      <c r="B36" s="27"/>
      <c r="C36" s="28" t="str">
        <f>+'BOS G1ND'!C37</f>
        <v>AG Consulting Expense</v>
      </c>
      <c r="D36" s="86"/>
      <c r="E36" s="86"/>
      <c r="G36" s="92"/>
      <c r="H36" s="53">
        <v>4.0000000000000003E-5</v>
      </c>
      <c r="I36" s="53">
        <f t="shared" si="19"/>
        <v>4.0000000000000003E-5</v>
      </c>
      <c r="J36" s="53">
        <f t="shared" si="20"/>
        <v>4.0000000000000003E-5</v>
      </c>
      <c r="K36" s="37"/>
      <c r="L36" s="53">
        <f t="shared" si="21"/>
        <v>4.0000000000000003E-5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89" t="str">
        <f>+'BOS G1ND'!Q37</f>
        <v>AGCE</v>
      </c>
      <c r="R36" s="93"/>
      <c r="S36" s="93"/>
      <c r="T36" s="93"/>
      <c r="U36" s="93"/>
      <c r="V36" s="93"/>
      <c r="W36" s="28"/>
    </row>
    <row r="37" spans="1:23" ht="14" x14ac:dyDescent="0.3">
      <c r="A37" s="67">
        <f t="shared" si="0"/>
        <v>37</v>
      </c>
      <c r="B37" s="27"/>
      <c r="C37" s="28" t="str">
        <f>+'BOS G1ND'!C38</f>
        <v>Storm Cost Recovery Adjustment Factor</v>
      </c>
      <c r="D37" s="86"/>
      <c r="E37" s="86"/>
      <c r="G37" s="92"/>
      <c r="H37" s="53">
        <v>4.8900000000000002E-3</v>
      </c>
      <c r="I37" s="53">
        <f t="shared" si="19"/>
        <v>4.8900000000000002E-3</v>
      </c>
      <c r="J37" s="53">
        <f t="shared" si="20"/>
        <v>4.8900000000000002E-3</v>
      </c>
      <c r="K37" s="37"/>
      <c r="L37" s="53">
        <f t="shared" si="21"/>
        <v>4.8900000000000002E-3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89" t="str">
        <f>+'BOS G1ND'!Q38</f>
        <v>SCRA</v>
      </c>
      <c r="R37" s="93"/>
      <c r="S37" s="93"/>
      <c r="T37" s="93"/>
      <c r="U37" s="93"/>
      <c r="V37" s="93"/>
      <c r="W37" s="28"/>
    </row>
    <row r="38" spans="1:23" ht="14" x14ac:dyDescent="0.3">
      <c r="A38" s="67">
        <f t="shared" si="0"/>
        <v>38</v>
      </c>
      <c r="B38" s="27"/>
      <c r="C38" s="28" t="str">
        <f>+'BOS G1ND'!C39</f>
        <v>Storm Reserve Adjustment</v>
      </c>
      <c r="D38" s="86"/>
      <c r="E38" s="86"/>
      <c r="G38" s="92"/>
      <c r="H38" s="53">
        <v>0</v>
      </c>
      <c r="I38" s="53">
        <f t="shared" si="19"/>
        <v>0</v>
      </c>
      <c r="J38" s="53">
        <f t="shared" si="20"/>
        <v>0</v>
      </c>
      <c r="K38" s="37"/>
      <c r="L38" s="53">
        <f t="shared" si="21"/>
        <v>0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89" t="str">
        <f>+'BOS G1ND'!Q39</f>
        <v>SRA</v>
      </c>
      <c r="W38" s="28"/>
    </row>
    <row r="39" spans="1:23" ht="14" x14ac:dyDescent="0.3">
      <c r="A39" s="67">
        <f t="shared" si="0"/>
        <v>39</v>
      </c>
      <c r="B39" s="27"/>
      <c r="C39" s="28" t="str">
        <f>+'BOS G1ND'!C40</f>
        <v>Basic Service Cost True Up Factor</v>
      </c>
      <c r="D39" s="86"/>
      <c r="E39" s="86"/>
      <c r="G39" s="92"/>
      <c r="H39" s="53">
        <v>-3.4000000000000002E-4</v>
      </c>
      <c r="I39" s="53">
        <f t="shared" si="19"/>
        <v>-3.4000000000000002E-4</v>
      </c>
      <c r="J39" s="53">
        <f t="shared" si="20"/>
        <v>-3.4000000000000002E-4</v>
      </c>
      <c r="K39" s="37"/>
      <c r="L39" s="53">
        <f t="shared" si="21"/>
        <v>-3.4000000000000002E-4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89" t="str">
        <f>+'BOS G1ND'!Q40</f>
        <v>BSTF</v>
      </c>
      <c r="W39" s="28"/>
    </row>
    <row r="40" spans="1:23" ht="14" x14ac:dyDescent="0.3">
      <c r="A40" s="67">
        <f t="shared" si="0"/>
        <v>40</v>
      </c>
      <c r="B40" s="27"/>
      <c r="C40" s="28" t="str">
        <f>+'BOS G1ND'!C41</f>
        <v>Solar Program Cost Adjustment Factor</v>
      </c>
      <c r="D40" s="86"/>
      <c r="E40" s="86"/>
      <c r="G40" s="92"/>
      <c r="H40" s="53">
        <v>1.0000000000000001E-5</v>
      </c>
      <c r="I40" s="53">
        <f t="shared" si="19"/>
        <v>1.0000000000000001E-5</v>
      </c>
      <c r="J40" s="53">
        <f t="shared" si="20"/>
        <v>1.0000000000000001E-5</v>
      </c>
      <c r="K40" s="37"/>
      <c r="L40" s="53">
        <f t="shared" si="21"/>
        <v>1.0000000000000001E-5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89" t="str">
        <f>+'BOS G1ND'!Q41</f>
        <v>SPCA</v>
      </c>
      <c r="W40" s="28"/>
    </row>
    <row r="41" spans="1:23" ht="14" x14ac:dyDescent="0.3">
      <c r="A41" s="67">
        <f t="shared" si="0"/>
        <v>41</v>
      </c>
      <c r="B41" s="27"/>
      <c r="C41" s="28" t="str">
        <f>+'BOS G1ND'!C42</f>
        <v>Solar Expansion Cost Recovery Factor</v>
      </c>
      <c r="D41" s="37"/>
      <c r="E41" s="37"/>
      <c r="G41" s="53"/>
      <c r="H41" s="53">
        <v>-3.6999999999999999E-4</v>
      </c>
      <c r="I41" s="53">
        <f t="shared" si="19"/>
        <v>-3.6999999999999999E-4</v>
      </c>
      <c r="J41" s="53">
        <f t="shared" si="20"/>
        <v>-3.6999999999999999E-4</v>
      </c>
      <c r="K41" s="37"/>
      <c r="L41" s="53">
        <f t="shared" si="21"/>
        <v>-3.6999999999999999E-4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89" t="str">
        <f>+'BOS G1ND'!Q42</f>
        <v>SECRF</v>
      </c>
    </row>
    <row r="42" spans="1:23" ht="14" x14ac:dyDescent="0.3">
      <c r="A42" s="67">
        <f t="shared" si="0"/>
        <v>42</v>
      </c>
      <c r="B42" s="27"/>
      <c r="C42" s="28" t="str">
        <f>+'BOS G1ND'!C43</f>
        <v>Vegetation Management</v>
      </c>
      <c r="D42" s="37"/>
      <c r="E42" s="37"/>
      <c r="G42" s="53"/>
      <c r="H42" s="53">
        <v>1.2999999999999999E-3</v>
      </c>
      <c r="I42" s="53">
        <f t="shared" si="19"/>
        <v>1.2999999999999999E-3</v>
      </c>
      <c r="J42" s="53">
        <f t="shared" si="20"/>
        <v>1.2999999999999999E-3</v>
      </c>
      <c r="K42" s="37"/>
      <c r="L42" s="53">
        <f t="shared" si="21"/>
        <v>1.2999999999999999E-3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89" t="str">
        <f>+'BOS G1ND'!Q43</f>
        <v>RTWF</v>
      </c>
    </row>
    <row r="43" spans="1:23" ht="14" x14ac:dyDescent="0.3">
      <c r="A43" s="67">
        <f t="shared" si="0"/>
        <v>43</v>
      </c>
      <c r="B43" s="27"/>
      <c r="C43" s="28" t="str">
        <f>+'BOS G1ND'!C44</f>
        <v>Tax Act Credit Factor</v>
      </c>
      <c r="D43" s="86"/>
      <c r="E43" s="86"/>
      <c r="G43" s="92"/>
      <c r="H43" s="53">
        <v>-1.33E-3</v>
      </c>
      <c r="I43" s="53">
        <f t="shared" si="19"/>
        <v>-1.33E-3</v>
      </c>
      <c r="J43" s="53">
        <f t="shared" si="20"/>
        <v>-1.33E-3</v>
      </c>
      <c r="K43" s="37"/>
      <c r="L43" s="53">
        <f t="shared" si="21"/>
        <v>-1.33E-3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89" t="str">
        <f>+'BOS G1ND'!Q44</f>
        <v>TACF</v>
      </c>
      <c r="W43" s="28"/>
    </row>
    <row r="44" spans="1:23" ht="14" x14ac:dyDescent="0.3">
      <c r="A44" s="67">
        <f t="shared" si="0"/>
        <v>44</v>
      </c>
      <c r="B44" s="27"/>
      <c r="C44" s="28" t="str">
        <f>+'BOS G1ND'!C45</f>
        <v>Grid Modernization</v>
      </c>
      <c r="D44" s="86"/>
      <c r="E44" s="86"/>
      <c r="G44" s="90"/>
      <c r="H44" s="53">
        <v>1.65E-3</v>
      </c>
      <c r="I44" s="53">
        <f t="shared" si="19"/>
        <v>1.65E-3</v>
      </c>
      <c r="J44" s="53">
        <f t="shared" si="20"/>
        <v>1.65E-3</v>
      </c>
      <c r="K44" s="37"/>
      <c r="L44" s="53">
        <f t="shared" si="21"/>
        <v>1.65E-3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89" t="str">
        <f>+'BOS G1ND'!Q45</f>
        <v>GMOD</v>
      </c>
      <c r="W44" s="28"/>
    </row>
    <row r="45" spans="1:23" ht="14" x14ac:dyDescent="0.3">
      <c r="A45" s="67">
        <f t="shared" si="0"/>
        <v>45</v>
      </c>
      <c r="B45" s="27"/>
      <c r="C45" s="28" t="str">
        <f>+'BOS G1ND'!C46</f>
        <v>Advanced Metering Infrastructure</v>
      </c>
      <c r="D45" s="86"/>
      <c r="E45" s="86"/>
      <c r="G45" s="90"/>
      <c r="H45" s="53">
        <v>2.1900000000000001E-3</v>
      </c>
      <c r="I45" s="53">
        <f t="shared" si="19"/>
        <v>2.1900000000000001E-3</v>
      </c>
      <c r="J45" s="53">
        <f t="shared" si="20"/>
        <v>2.1900000000000001E-3</v>
      </c>
      <c r="K45" s="37"/>
      <c r="L45" s="53">
        <f t="shared" si="21"/>
        <v>2.1900000000000001E-3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89" t="str">
        <f>+'BOS G1ND'!Q46</f>
        <v>AMIF</v>
      </c>
      <c r="W45" s="28"/>
    </row>
    <row r="46" spans="1:23" ht="14" x14ac:dyDescent="0.3">
      <c r="A46" s="67">
        <f t="shared" si="0"/>
        <v>46</v>
      </c>
      <c r="B46" s="27"/>
      <c r="C46" s="28" t="str">
        <f>+'BOS G1ND'!C47</f>
        <v>Electronic Payment Recovery</v>
      </c>
      <c r="D46" s="86"/>
      <c r="E46" s="86"/>
      <c r="G46" s="90"/>
      <c r="H46" s="53">
        <v>0</v>
      </c>
      <c r="I46" s="53">
        <f t="shared" si="19"/>
        <v>0</v>
      </c>
      <c r="J46" s="53">
        <f t="shared" si="20"/>
        <v>0</v>
      </c>
      <c r="K46" s="37"/>
      <c r="L46" s="53">
        <f t="shared" si="21"/>
        <v>0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89" t="str">
        <f>+'BOS G1ND'!Q47</f>
        <v>EPR</v>
      </c>
      <c r="W46" s="28"/>
    </row>
    <row r="47" spans="1:23" ht="14" x14ac:dyDescent="0.3">
      <c r="A47" s="67">
        <f t="shared" si="0"/>
        <v>47</v>
      </c>
      <c r="B47" s="27"/>
      <c r="C47" s="28" t="str">
        <f>+'BOS G1ND'!C48</f>
        <v>Provisional System Planning Factor</v>
      </c>
      <c r="D47" s="86"/>
      <c r="E47" s="86"/>
      <c r="G47" s="90"/>
      <c r="H47" s="91">
        <v>0</v>
      </c>
      <c r="I47" s="53">
        <f t="shared" si="19"/>
        <v>0</v>
      </c>
      <c r="J47" s="53">
        <f t="shared" si="20"/>
        <v>0</v>
      </c>
      <c r="K47" s="37"/>
      <c r="L47" s="53">
        <f t="shared" si="21"/>
        <v>0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89" t="str">
        <f>+'BOS G1ND'!Q48</f>
        <v>PSPF</v>
      </c>
      <c r="W47" s="28"/>
    </row>
    <row r="48" spans="1:23" ht="14" x14ac:dyDescent="0.3">
      <c r="A48" s="67">
        <f t="shared" si="0"/>
        <v>48</v>
      </c>
      <c r="B48" s="27"/>
      <c r="C48" s="28" t="str">
        <f>+'BOS G1ND'!C49</f>
        <v>Electric Vehicle Factor</v>
      </c>
      <c r="D48" s="86"/>
      <c r="E48" s="86"/>
      <c r="G48" s="90"/>
      <c r="H48" s="91">
        <v>1.0300000000000001E-3</v>
      </c>
      <c r="I48" s="53">
        <f t="shared" si="19"/>
        <v>1.0300000000000001E-3</v>
      </c>
      <c r="J48" s="53">
        <f t="shared" si="20"/>
        <v>1.0300000000000001E-3</v>
      </c>
      <c r="K48" s="37"/>
      <c r="L48" s="53">
        <f t="shared" si="21"/>
        <v>1.0300000000000001E-3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89" t="str">
        <f>+'BOS G1ND'!Q49</f>
        <v>EVF</v>
      </c>
      <c r="W48" s="28"/>
    </row>
    <row r="49" spans="1:23" ht="14" x14ac:dyDescent="0.3">
      <c r="A49" s="67">
        <f t="shared" si="0"/>
        <v>49</v>
      </c>
      <c r="B49" s="27"/>
      <c r="C49" s="28" t="str">
        <f>+'BOS G1ND'!C50</f>
        <v>Transition</v>
      </c>
      <c r="D49" s="37"/>
      <c r="E49" s="37"/>
      <c r="G49" s="90"/>
      <c r="H49" s="91">
        <v>-3.6999999999999999E-4</v>
      </c>
      <c r="I49" s="53">
        <f t="shared" si="19"/>
        <v>-3.6999999999999999E-4</v>
      </c>
      <c r="J49" s="53">
        <f t="shared" si="20"/>
        <v>-3.6999999999999999E-4</v>
      </c>
      <c r="K49" s="37"/>
      <c r="L49" s="53">
        <f t="shared" si="21"/>
        <v>-3.6999999999999999E-4</v>
      </c>
      <c r="M49" s="54">
        <f t="shared" si="22"/>
        <v>0</v>
      </c>
      <c r="N49" s="54"/>
      <c r="O49" s="54">
        <f t="shared" si="23"/>
        <v>0</v>
      </c>
      <c r="P49" s="54">
        <f t="shared" si="24"/>
        <v>0</v>
      </c>
      <c r="Q49" s="89" t="str">
        <f>+'BOS G1ND'!Q50</f>
        <v>TRNSN</v>
      </c>
      <c r="W49" s="28"/>
    </row>
    <row r="50" spans="1:23" ht="14" x14ac:dyDescent="0.3">
      <c r="A50" s="67">
        <f t="shared" si="0"/>
        <v>50</v>
      </c>
      <c r="B50" s="27"/>
      <c r="C50" s="28" t="s">
        <v>103</v>
      </c>
      <c r="D50" s="86"/>
      <c r="E50" s="86"/>
      <c r="G50" s="90"/>
      <c r="H50" s="91">
        <v>3.2169999999999997E-2</v>
      </c>
      <c r="I50" s="53">
        <f t="shared" si="19"/>
        <v>3.2169999999999997E-2</v>
      </c>
      <c r="J50" s="53">
        <f t="shared" si="20"/>
        <v>3.2169999999999997E-2</v>
      </c>
      <c r="K50" s="37"/>
      <c r="L50" s="53">
        <f t="shared" si="21"/>
        <v>3.2169999999999997E-2</v>
      </c>
      <c r="M50" s="54">
        <f t="shared" si="22"/>
        <v>0</v>
      </c>
      <c r="N50" s="54"/>
      <c r="O50" s="54">
        <f t="shared" si="23"/>
        <v>0</v>
      </c>
      <c r="P50" s="54">
        <f t="shared" si="24"/>
        <v>0</v>
      </c>
      <c r="Q50" s="51" t="s">
        <v>104</v>
      </c>
      <c r="W50" s="28"/>
    </row>
    <row r="51" spans="1:23" ht="14" x14ac:dyDescent="0.3">
      <c r="A51" s="67">
        <f t="shared" si="0"/>
        <v>51</v>
      </c>
      <c r="B51" s="27"/>
      <c r="C51" s="28" t="s">
        <v>105</v>
      </c>
      <c r="D51" s="86"/>
      <c r="E51" s="86"/>
      <c r="G51" s="90"/>
      <c r="H51" s="91">
        <v>-8.1300000000000001E-3</v>
      </c>
      <c r="I51" s="53">
        <v>1.038E-2</v>
      </c>
      <c r="J51" s="53">
        <v>1.333E-2</v>
      </c>
      <c r="L51" s="53">
        <v>1.3129999999999999E-2</v>
      </c>
      <c r="M51" s="54">
        <f t="shared" si="22"/>
        <v>1.8509999999999999E-2</v>
      </c>
      <c r="N51" s="54"/>
      <c r="O51" s="54">
        <f t="shared" si="23"/>
        <v>2.9499999999999995E-3</v>
      </c>
      <c r="P51" s="54">
        <f t="shared" si="24"/>
        <v>-2.0000000000000052E-4</v>
      </c>
      <c r="Q51" s="89" t="s">
        <v>106</v>
      </c>
      <c r="W51" s="28"/>
    </row>
    <row r="52" spans="1:23" ht="14" x14ac:dyDescent="0.3">
      <c r="A52" s="67">
        <f t="shared" si="0"/>
        <v>52</v>
      </c>
      <c r="B52" s="27"/>
      <c r="C52" s="28" t="s">
        <v>107</v>
      </c>
      <c r="D52" s="86"/>
      <c r="E52" s="86"/>
      <c r="G52" s="90"/>
      <c r="H52" s="91">
        <v>2.5000000000000001E-3</v>
      </c>
      <c r="I52" s="53">
        <f t="shared" si="19"/>
        <v>2.5000000000000001E-3</v>
      </c>
      <c r="J52" s="53">
        <f t="shared" si="20"/>
        <v>2.5000000000000001E-3</v>
      </c>
      <c r="K52" s="37"/>
      <c r="L52" s="53">
        <f t="shared" si="21"/>
        <v>2.5000000000000001E-3</v>
      </c>
      <c r="M52" s="54">
        <f t="shared" si="22"/>
        <v>0</v>
      </c>
      <c r="N52" s="54"/>
      <c r="O52" s="54">
        <f t="shared" si="23"/>
        <v>0</v>
      </c>
      <c r="P52" s="54">
        <f t="shared" si="24"/>
        <v>0</v>
      </c>
      <c r="Q52" s="89" t="s">
        <v>108</v>
      </c>
      <c r="R52" s="28"/>
      <c r="S52" s="28"/>
      <c r="T52" s="28"/>
      <c r="U52" s="28"/>
      <c r="V52" s="28"/>
    </row>
    <row r="53" spans="1:23" ht="14" x14ac:dyDescent="0.3">
      <c r="A53" s="67">
        <f t="shared" si="0"/>
        <v>53</v>
      </c>
      <c r="C53" s="28" t="s">
        <v>109</v>
      </c>
      <c r="D53" s="37"/>
      <c r="E53" s="37"/>
      <c r="G53" s="55"/>
      <c r="H53" s="91">
        <v>5.0000000000000001E-4</v>
      </c>
      <c r="I53" s="53">
        <f t="shared" si="19"/>
        <v>5.0000000000000001E-4</v>
      </c>
      <c r="J53" s="53">
        <f t="shared" si="20"/>
        <v>5.0000000000000001E-4</v>
      </c>
      <c r="K53" s="37"/>
      <c r="L53" s="53">
        <f t="shared" si="21"/>
        <v>5.0000000000000001E-4</v>
      </c>
      <c r="M53" s="54">
        <f t="shared" si="22"/>
        <v>0</v>
      </c>
      <c r="N53" s="54"/>
      <c r="O53" s="54">
        <f t="shared" si="23"/>
        <v>0</v>
      </c>
      <c r="P53" s="54">
        <f t="shared" si="24"/>
        <v>0</v>
      </c>
      <c r="Q53" s="89" t="s">
        <v>110</v>
      </c>
    </row>
    <row r="54" spans="1:23" ht="14" x14ac:dyDescent="0.3">
      <c r="A54" s="67">
        <f t="shared" si="0"/>
        <v>54</v>
      </c>
      <c r="C54" s="28" t="s">
        <v>111</v>
      </c>
      <c r="D54" s="37"/>
      <c r="E54" s="37"/>
      <c r="G54" s="55"/>
      <c r="H54" s="53">
        <v>0.13982</v>
      </c>
      <c r="I54" s="53">
        <f t="shared" si="19"/>
        <v>0.13982</v>
      </c>
      <c r="J54" s="53">
        <f t="shared" si="20"/>
        <v>0.13982</v>
      </c>
      <c r="K54" s="37"/>
      <c r="L54" s="53">
        <f t="shared" si="21"/>
        <v>0.13982</v>
      </c>
      <c r="M54" s="54">
        <f t="shared" si="22"/>
        <v>0</v>
      </c>
      <c r="N54" s="54"/>
      <c r="O54" s="54">
        <f t="shared" si="23"/>
        <v>0</v>
      </c>
      <c r="P54" s="54">
        <f t="shared" si="24"/>
        <v>0</v>
      </c>
      <c r="Q54" s="89" t="s">
        <v>112</v>
      </c>
    </row>
    <row r="55" spans="1:23" ht="14" x14ac:dyDescent="0.3">
      <c r="A55" s="67"/>
      <c r="C55" s="28"/>
      <c r="D55" s="37"/>
      <c r="E55" s="37"/>
      <c r="G55" s="55"/>
      <c r="H55" s="55"/>
      <c r="I55" s="55"/>
      <c r="J55" s="94"/>
      <c r="K55" s="37"/>
      <c r="L55" s="37"/>
    </row>
    <row r="56" spans="1:23" ht="14" x14ac:dyDescent="0.3">
      <c r="A56" s="67"/>
      <c r="C56" s="28" t="s">
        <v>58</v>
      </c>
      <c r="D56" s="37"/>
      <c r="E56" s="37"/>
      <c r="G56" s="87"/>
      <c r="H56" s="88">
        <f>+H27</f>
        <v>30</v>
      </c>
      <c r="I56" s="88">
        <f>+I27</f>
        <v>30</v>
      </c>
      <c r="J56" s="88">
        <f>+J27</f>
        <v>30</v>
      </c>
      <c r="K56" s="37"/>
      <c r="L56" s="88">
        <f>+L27</f>
        <v>30</v>
      </c>
    </row>
    <row r="57" spans="1:23" ht="14" x14ac:dyDescent="0.3">
      <c r="A57" s="67"/>
      <c r="C57" s="28" t="s">
        <v>122</v>
      </c>
      <c r="D57" s="37"/>
      <c r="E57" s="37"/>
      <c r="G57" s="55"/>
      <c r="H57" s="55">
        <f>SUM(H28:H53)</f>
        <v>9.8610000000000003E-2</v>
      </c>
      <c r="I57" s="55">
        <f>SUM(I28:I53)</f>
        <v>0.11712</v>
      </c>
      <c r="J57" s="55">
        <f>SUM(J28:J53)</f>
        <v>0.12007</v>
      </c>
      <c r="K57" s="37"/>
      <c r="L57" s="55">
        <f>SUM(L28:L53)</f>
        <v>0.11987</v>
      </c>
    </row>
    <row r="58" spans="1:23" ht="14" x14ac:dyDescent="0.3">
      <c r="A58" s="67"/>
      <c r="C58" s="28" t="s">
        <v>123</v>
      </c>
      <c r="D58" s="37"/>
      <c r="E58" s="37"/>
      <c r="G58" s="55"/>
      <c r="H58" s="55">
        <f>+H54</f>
        <v>0.13982</v>
      </c>
      <c r="I58" s="55">
        <f>+I54</f>
        <v>0.13982</v>
      </c>
      <c r="J58" s="55">
        <f>+J54</f>
        <v>0.13982</v>
      </c>
      <c r="K58" s="37"/>
      <c r="L58" s="55">
        <f>+L54</f>
        <v>0.13982</v>
      </c>
    </row>
    <row r="59" spans="1:23" ht="14" x14ac:dyDescent="0.3">
      <c r="D59" s="37"/>
      <c r="E59" s="37"/>
      <c r="F59" s="55"/>
      <c r="G59" s="55"/>
      <c r="H59" s="55"/>
      <c r="I59" s="55"/>
      <c r="J59" s="37"/>
      <c r="K59" s="37"/>
      <c r="L59" s="37"/>
    </row>
    <row r="60" spans="1:23" ht="14" x14ac:dyDescent="0.3">
      <c r="D60" s="37"/>
      <c r="E60" s="37"/>
      <c r="F60" s="37"/>
      <c r="G60" s="37"/>
      <c r="H60" s="37"/>
      <c r="I60" s="37"/>
      <c r="J60" s="37"/>
      <c r="K60" s="37"/>
      <c r="L60" s="37"/>
    </row>
    <row r="61" spans="1:23" ht="14" x14ac:dyDescent="0.3">
      <c r="D61" s="37"/>
      <c r="E61" s="37"/>
      <c r="F61" s="37"/>
      <c r="G61" s="37"/>
      <c r="H61" s="37"/>
      <c r="I61" s="37"/>
      <c r="J61" s="37"/>
      <c r="K61" s="37"/>
      <c r="L61" s="37"/>
    </row>
    <row r="108" spans="3:22" x14ac:dyDescent="0.3">
      <c r="C108" s="95"/>
    </row>
    <row r="109" spans="3:22" ht="14" x14ac:dyDescent="0.3">
      <c r="C109" s="96"/>
      <c r="D109" s="97"/>
      <c r="E109" s="97"/>
      <c r="F109" s="97"/>
      <c r="G109" s="97"/>
      <c r="H109" s="97"/>
      <c r="I109" s="97"/>
      <c r="J109" s="97"/>
      <c r="K109" s="97"/>
      <c r="L109" s="97"/>
      <c r="M109" s="98"/>
      <c r="N109" s="98"/>
      <c r="O109" s="98"/>
      <c r="P109" s="98"/>
      <c r="Q109" s="98"/>
      <c r="R109" s="98"/>
      <c r="S109" s="98"/>
      <c r="T109" s="98"/>
      <c r="U109" s="98"/>
      <c r="V109" s="98"/>
    </row>
    <row r="111" spans="3:22" ht="14" x14ac:dyDescent="0.3">
      <c r="C111" s="96"/>
      <c r="D111" s="97"/>
      <c r="E111" s="97"/>
      <c r="F111" s="97"/>
      <c r="G111" s="97"/>
      <c r="H111" s="97"/>
      <c r="I111" s="97"/>
      <c r="J111" s="97"/>
      <c r="K111" s="97"/>
      <c r="L111" s="97"/>
      <c r="M111" s="98"/>
      <c r="N111" s="98"/>
      <c r="O111" s="98"/>
      <c r="P111" s="98"/>
      <c r="Q111" s="98"/>
      <c r="R111" s="98"/>
      <c r="S111" s="98"/>
      <c r="T111" s="98"/>
      <c r="U111" s="98"/>
      <c r="V111" s="98"/>
    </row>
  </sheetData>
  <mergeCells count="7">
    <mergeCell ref="Z10:AA10"/>
    <mergeCell ref="D10:F10"/>
    <mergeCell ref="H10:J10"/>
    <mergeCell ref="L10:M10"/>
    <mergeCell ref="O10:Q10"/>
    <mergeCell ref="S10:T10"/>
    <mergeCell ref="V10:X10"/>
  </mergeCells>
  <pageMargins left="0.7" right="0.7" top="0.75" bottom="0.75" header="0.3" footer="0.3"/>
  <pageSetup scale="38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2DAFF-1D83-45F8-A43D-513EE98A281A}">
  <sheetPr>
    <tabColor theme="3" tint="0.59999389629810485"/>
    <pageSetUpPr fitToPage="1"/>
  </sheetPr>
  <dimension ref="A1:AB131"/>
  <sheetViews>
    <sheetView zoomScaleNormal="100" workbookViewId="0"/>
  </sheetViews>
  <sheetFormatPr defaultColWidth="8.7265625" defaultRowHeight="14" x14ac:dyDescent="0.3"/>
  <cols>
    <col min="1" max="1" width="4.453125" style="2" customWidth="1"/>
    <col min="2" max="2" width="4.453125" style="2" bestFit="1" customWidth="1"/>
    <col min="3" max="7" width="11.81640625" style="2" customWidth="1"/>
    <col min="8" max="8" width="2" style="2" customWidth="1"/>
    <col min="9" max="11" width="11.81640625" style="2" customWidth="1"/>
    <col min="12" max="12" width="2" style="2" customWidth="1"/>
    <col min="13" max="14" width="11.81640625" style="2" customWidth="1"/>
    <col min="15" max="15" width="2" style="2" customWidth="1"/>
    <col min="16" max="18" width="11.81640625" style="2" customWidth="1"/>
    <col min="19" max="19" width="2" style="2" customWidth="1"/>
    <col min="20" max="21" width="11.81640625" style="2" customWidth="1"/>
    <col min="22" max="22" width="2" style="2" customWidth="1"/>
    <col min="23" max="25" width="11.81640625" style="2" customWidth="1"/>
    <col min="26" max="26" width="2" style="2" customWidth="1"/>
    <col min="27" max="28" width="11.81640625" style="2" customWidth="1"/>
    <col min="29" max="16384" width="8.7265625" style="2"/>
  </cols>
  <sheetData>
    <row r="1" spans="1:28" x14ac:dyDescent="0.3">
      <c r="A1" s="1">
        <v>1</v>
      </c>
    </row>
    <row r="2" spans="1:28" x14ac:dyDescent="0.3">
      <c r="A2" s="1">
        <f>A1+1</f>
        <v>2</v>
      </c>
    </row>
    <row r="3" spans="1:28" x14ac:dyDescent="0.3">
      <c r="A3" s="1">
        <f t="shared" ref="A3:A66" si="0">A2+1</f>
        <v>3</v>
      </c>
      <c r="B3" s="24" t="s">
        <v>40</v>
      </c>
    </row>
    <row r="4" spans="1:28" x14ac:dyDescent="0.3">
      <c r="A4" s="1">
        <f t="shared" si="0"/>
        <v>4</v>
      </c>
      <c r="B4" s="24" t="s">
        <v>41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</row>
    <row r="5" spans="1:28" x14ac:dyDescent="0.3">
      <c r="A5" s="1">
        <f t="shared" si="0"/>
        <v>5</v>
      </c>
      <c r="B5" s="24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</row>
    <row r="6" spans="1:28" x14ac:dyDescent="0.3">
      <c r="A6" s="1">
        <f t="shared" si="0"/>
        <v>6</v>
      </c>
      <c r="B6" s="24" t="s">
        <v>133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</row>
    <row r="7" spans="1:28" x14ac:dyDescent="0.3">
      <c r="A7" s="1">
        <f t="shared" si="0"/>
        <v>7</v>
      </c>
      <c r="B7" s="24" t="s">
        <v>138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</row>
    <row r="8" spans="1:28" x14ac:dyDescent="0.3">
      <c r="A8" s="1">
        <f t="shared" si="0"/>
        <v>8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</row>
    <row r="9" spans="1:28" x14ac:dyDescent="0.3">
      <c r="A9" s="1">
        <f t="shared" si="0"/>
        <v>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</row>
    <row r="10" spans="1:28" x14ac:dyDescent="0.3">
      <c r="A10" s="1">
        <f t="shared" si="0"/>
        <v>10</v>
      </c>
      <c r="B10" s="104"/>
      <c r="C10" s="44"/>
      <c r="D10" s="44"/>
      <c r="E10" s="44"/>
      <c r="F10" s="44"/>
      <c r="G10" s="131"/>
      <c r="H10" s="44"/>
    </row>
    <row r="11" spans="1:28" x14ac:dyDescent="0.3">
      <c r="A11" s="1">
        <f t="shared" si="0"/>
        <v>11</v>
      </c>
      <c r="B11" s="104"/>
      <c r="E11" s="44"/>
      <c r="F11" s="44"/>
      <c r="G11" s="132"/>
      <c r="H11" s="44"/>
    </row>
    <row r="12" spans="1:28" x14ac:dyDescent="0.3">
      <c r="A12" s="1">
        <f t="shared" si="0"/>
        <v>12</v>
      </c>
      <c r="B12" s="31"/>
      <c r="C12" s="104" t="s">
        <v>2</v>
      </c>
      <c r="D12" s="104" t="s">
        <v>2</v>
      </c>
      <c r="E12" s="32" t="str">
        <f>'EMA R1'!D10</f>
        <v>2024 Monthly Bill</v>
      </c>
      <c r="F12" s="32"/>
      <c r="G12" s="32"/>
      <c r="H12" s="133"/>
      <c r="I12" s="32" t="str">
        <f>'EMA R1'!H10</f>
        <v>2025 Illustrative Monthly Bill</v>
      </c>
      <c r="J12" s="32"/>
      <c r="K12" s="32"/>
      <c r="L12" s="23"/>
      <c r="M12" s="32" t="str">
        <f>'EMA R1'!L10</f>
        <v>2025 vs. 2024</v>
      </c>
      <c r="N12" s="32"/>
      <c r="O12" s="27"/>
      <c r="P12" s="32" t="str">
        <f>'EMA R1'!O10</f>
        <v>2026 Illustrative Monthly Bill</v>
      </c>
      <c r="Q12" s="32"/>
      <c r="R12" s="32"/>
      <c r="S12" s="133"/>
      <c r="T12" s="32" t="str">
        <f>'EMA R1'!S10</f>
        <v>2026 vs. 2025</v>
      </c>
      <c r="U12" s="32"/>
      <c r="V12" s="23"/>
      <c r="W12" s="32" t="str">
        <f>'EMA R1'!V10</f>
        <v>2027 Illustrative Monthly Bill</v>
      </c>
      <c r="X12" s="32"/>
      <c r="Y12" s="32"/>
      <c r="Z12" s="133"/>
      <c r="AA12" s="32" t="str">
        <f>'EMA R1'!Z10</f>
        <v>2027 vs. 2026</v>
      </c>
      <c r="AB12" s="32"/>
    </row>
    <row r="13" spans="1:28" x14ac:dyDescent="0.3">
      <c r="A13" s="1">
        <f t="shared" si="0"/>
        <v>13</v>
      </c>
      <c r="B13" s="31"/>
      <c r="C13" s="134" t="s">
        <v>125</v>
      </c>
      <c r="D13" s="134" t="s">
        <v>47</v>
      </c>
      <c r="E13" s="34" t="s">
        <v>48</v>
      </c>
      <c r="F13" s="34" t="s">
        <v>49</v>
      </c>
      <c r="G13" s="34" t="s">
        <v>50</v>
      </c>
      <c r="H13" s="34"/>
      <c r="I13" s="34" t="s">
        <v>48</v>
      </c>
      <c r="J13" s="34" t="s">
        <v>49</v>
      </c>
      <c r="K13" s="34" t="s">
        <v>50</v>
      </c>
      <c r="L13" s="23"/>
      <c r="M13" s="34" t="s">
        <v>51</v>
      </c>
      <c r="N13" s="34" t="s">
        <v>14</v>
      </c>
      <c r="O13" s="34"/>
      <c r="P13" s="34" t="s">
        <v>48</v>
      </c>
      <c r="Q13" s="34" t="s">
        <v>49</v>
      </c>
      <c r="R13" s="34" t="s">
        <v>50</v>
      </c>
      <c r="S13" s="34"/>
      <c r="T13" s="34" t="s">
        <v>51</v>
      </c>
      <c r="U13" s="34" t="s">
        <v>14</v>
      </c>
      <c r="V13" s="23"/>
      <c r="W13" s="34" t="s">
        <v>48</v>
      </c>
      <c r="X13" s="34" t="s">
        <v>49</v>
      </c>
      <c r="Y13" s="34" t="s">
        <v>50</v>
      </c>
      <c r="Z13" s="34"/>
      <c r="AA13" s="34" t="s">
        <v>51</v>
      </c>
      <c r="AB13" s="34" t="s">
        <v>14</v>
      </c>
    </row>
    <row r="14" spans="1:28" x14ac:dyDescent="0.3">
      <c r="A14" s="1">
        <f t="shared" si="0"/>
        <v>14</v>
      </c>
      <c r="B14" s="31"/>
      <c r="C14" s="134"/>
      <c r="D14" s="134"/>
      <c r="E14" s="135"/>
      <c r="F14" s="36"/>
      <c r="G14" s="36"/>
      <c r="H14" s="36"/>
      <c r="I14" s="135"/>
      <c r="J14" s="36"/>
      <c r="K14" s="36"/>
      <c r="L14" s="37"/>
      <c r="M14" s="36"/>
      <c r="N14" s="39"/>
      <c r="O14" s="39"/>
      <c r="P14" s="135"/>
      <c r="Q14" s="36"/>
      <c r="R14" s="36"/>
      <c r="S14" s="36"/>
      <c r="T14" s="36"/>
      <c r="U14" s="39"/>
      <c r="V14" s="23"/>
      <c r="W14" s="135"/>
      <c r="X14" s="36"/>
      <c r="Y14" s="36"/>
      <c r="Z14" s="36"/>
      <c r="AA14" s="36"/>
      <c r="AB14" s="39"/>
    </row>
    <row r="15" spans="1:28" x14ac:dyDescent="0.3">
      <c r="A15" s="1">
        <f t="shared" si="0"/>
        <v>15</v>
      </c>
      <c r="B15" s="31"/>
      <c r="C15" s="164" t="s">
        <v>126</v>
      </c>
      <c r="D15" s="104">
        <v>100</v>
      </c>
      <c r="E15" s="134"/>
      <c r="F15" s="134"/>
      <c r="G15" s="134"/>
      <c r="H15" s="44"/>
      <c r="I15" s="134"/>
      <c r="J15" s="134"/>
      <c r="K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Z15" s="44"/>
      <c r="AA15" s="44"/>
    </row>
    <row r="16" spans="1:28" x14ac:dyDescent="0.3">
      <c r="A16" s="1">
        <f t="shared" si="0"/>
        <v>16</v>
      </c>
      <c r="B16" s="31"/>
      <c r="C16" s="105">
        <v>1</v>
      </c>
      <c r="D16" s="106">
        <f>C16*$D$15</f>
        <v>100</v>
      </c>
      <c r="E16" s="135">
        <f t="shared" ref="E16:E26" si="1">ROUND($G$89+MIN(10,$C16)*$G$90+MAX(0,$C16-10)*$G$91,2)+ROUND($D16*$G$92,2)</f>
        <v>23.92</v>
      </c>
      <c r="F16" s="135">
        <f t="shared" ref="F16:F26" si="2">ROUND($D16*$G$93,2)</f>
        <v>15.68</v>
      </c>
      <c r="G16" s="135">
        <f>SUM(E16:F16)</f>
        <v>39.6</v>
      </c>
      <c r="H16" s="135"/>
      <c r="I16" s="135">
        <f t="shared" ref="I16:I26" si="3">ROUND($I$89+MIN(10,$C16)*$I$90+MAX(0,$C16-10)*$I$91,2)+ROUND($D16*$I$92,2)</f>
        <v>25.77</v>
      </c>
      <c r="J16" s="135">
        <f t="shared" ref="J16:J26" si="4">ROUND($D16*$I$93,2)</f>
        <v>15.68</v>
      </c>
      <c r="K16" s="135">
        <f t="shared" ref="K16" si="5">SUM(I16:J16)</f>
        <v>41.45</v>
      </c>
      <c r="L16" s="136"/>
      <c r="M16" s="135">
        <f>+K16-G16</f>
        <v>1.8500000000000014</v>
      </c>
      <c r="N16" s="137">
        <f>+M16/G16</f>
        <v>4.6717171717171754E-2</v>
      </c>
      <c r="O16" s="135"/>
      <c r="P16" s="135">
        <f>ROUND($J$89+MIN(10,$C16)*$J$90+MAX(0,$C16-10)*$J$91,2)+ROUND($D16*$J$92,2)</f>
        <v>26.07</v>
      </c>
      <c r="Q16" s="135">
        <f t="shared" ref="Q16:Q26" si="6">ROUND($D16*$J$93,2)</f>
        <v>15.68</v>
      </c>
      <c r="R16" s="135">
        <f t="shared" ref="R16" si="7">SUM(P16:Q16)</f>
        <v>41.75</v>
      </c>
      <c r="S16" s="136"/>
      <c r="T16" s="135">
        <f>+R16-K16</f>
        <v>0.29999999999999716</v>
      </c>
      <c r="U16" s="137">
        <f>+T16/K16</f>
        <v>7.2376357056694119E-3</v>
      </c>
      <c r="V16" s="135"/>
      <c r="W16" s="135">
        <f>ROUND($K$89+MIN(10,$C16)*$K$90+MAX(0,$C16-10)*$K$91,2)+ROUND($D16*$K$92,2)</f>
        <v>26.05</v>
      </c>
      <c r="X16" s="135">
        <f>ROUND($D16*$K$93,2)</f>
        <v>15.68</v>
      </c>
      <c r="Y16" s="135">
        <f t="shared" ref="Y16:Y26" si="8">SUM(W16:X16)</f>
        <v>41.730000000000004</v>
      </c>
      <c r="Z16" s="136"/>
      <c r="AA16" s="135">
        <f>+Y16-R16</f>
        <v>-1.9999999999996021E-2</v>
      </c>
      <c r="AB16" s="137">
        <f>+AA16/R16</f>
        <v>-4.7904191616756936E-4</v>
      </c>
    </row>
    <row r="17" spans="1:28" x14ac:dyDescent="0.3">
      <c r="A17" s="1">
        <f t="shared" si="0"/>
        <v>17</v>
      </c>
      <c r="B17" s="31"/>
      <c r="C17" s="105">
        <v>2</v>
      </c>
      <c r="D17" s="106">
        <f t="shared" ref="D17:D26" si="9">C17*$D$15</f>
        <v>200</v>
      </c>
      <c r="E17" s="135">
        <f t="shared" si="1"/>
        <v>27.84</v>
      </c>
      <c r="F17" s="135">
        <f t="shared" si="2"/>
        <v>31.35</v>
      </c>
      <c r="G17" s="135">
        <f t="shared" ref="G17:G26" si="10">SUM(E17:F17)</f>
        <v>59.19</v>
      </c>
      <c r="H17" s="136"/>
      <c r="I17" s="135">
        <f t="shared" si="3"/>
        <v>31.54</v>
      </c>
      <c r="J17" s="135">
        <f t="shared" si="4"/>
        <v>31.35</v>
      </c>
      <c r="K17" s="135">
        <f t="shared" ref="K17:K26" si="11">SUM(I17:J17)</f>
        <v>62.89</v>
      </c>
      <c r="L17" s="136"/>
      <c r="M17" s="135">
        <f t="shared" ref="M17:M26" si="12">+K17-G17</f>
        <v>3.7000000000000028</v>
      </c>
      <c r="N17" s="137">
        <f t="shared" ref="N17:N26" si="13">+M17/G17</f>
        <v>6.2510559216083852E-2</v>
      </c>
      <c r="O17" s="135"/>
      <c r="P17" s="135">
        <f t="shared" ref="P17:P26" si="14">ROUND($J$89+MIN(10,$C17)*$J$90+MAX(0,$C17-10)*$J$91,2)+ROUND($D17*$J$92,2)</f>
        <v>32.130000000000003</v>
      </c>
      <c r="Q17" s="135">
        <f t="shared" si="6"/>
        <v>31.35</v>
      </c>
      <c r="R17" s="135">
        <f t="shared" ref="R17:R26" si="15">SUM(P17:Q17)</f>
        <v>63.480000000000004</v>
      </c>
      <c r="S17" s="136"/>
      <c r="T17" s="135">
        <f t="shared" ref="T17:T52" si="16">+R17-K17</f>
        <v>0.59000000000000341</v>
      </c>
      <c r="U17" s="137">
        <f t="shared" ref="U17:U52" si="17">+T17/K17</f>
        <v>9.3814596915249397E-3</v>
      </c>
      <c r="V17" s="135"/>
      <c r="W17" s="135">
        <f t="shared" ref="W17:W52" si="18">ROUND($K$89+MIN(10,$C17)*$K$90+MAX(0,$C17-10)*$K$91,2)+ROUND($D17*$K$92,2)</f>
        <v>32.090000000000003</v>
      </c>
      <c r="X17" s="135">
        <f>ROUND($D17*$K$93,2)</f>
        <v>31.35</v>
      </c>
      <c r="Y17" s="135">
        <f t="shared" si="8"/>
        <v>63.440000000000005</v>
      </c>
      <c r="Z17" s="136"/>
      <c r="AA17" s="135">
        <f t="shared" ref="AA17:AA52" si="19">+Y17-R17</f>
        <v>-3.9999999999999147E-2</v>
      </c>
      <c r="AB17" s="137">
        <f t="shared" ref="AB17:AB52" si="20">+AA17/R17</f>
        <v>-6.3011972274730856E-4</v>
      </c>
    </row>
    <row r="18" spans="1:28" x14ac:dyDescent="0.3">
      <c r="A18" s="1">
        <f t="shared" si="0"/>
        <v>18</v>
      </c>
      <c r="B18" s="31"/>
      <c r="C18" s="105">
        <v>3</v>
      </c>
      <c r="D18" s="106">
        <f t="shared" si="9"/>
        <v>300</v>
      </c>
      <c r="E18" s="135">
        <f t="shared" si="1"/>
        <v>31.759999999999998</v>
      </c>
      <c r="F18" s="135">
        <f t="shared" si="2"/>
        <v>47.03</v>
      </c>
      <c r="G18" s="135">
        <f t="shared" si="10"/>
        <v>78.789999999999992</v>
      </c>
      <c r="H18" s="136"/>
      <c r="I18" s="135">
        <f>ROUND($I$89+MIN(10,$C18)*$I$90+MAX(0,$C18-10)*$I$91,2)+ROUND($D18*$I$92,2)</f>
        <v>37.31</v>
      </c>
      <c r="J18" s="135">
        <f>ROUND($D18*$I$93,2)</f>
        <v>47.03</v>
      </c>
      <c r="K18" s="135">
        <f t="shared" si="11"/>
        <v>84.34</v>
      </c>
      <c r="L18" s="136"/>
      <c r="M18" s="135">
        <f t="shared" si="12"/>
        <v>5.5500000000000114</v>
      </c>
      <c r="N18" s="137">
        <f t="shared" si="13"/>
        <v>7.0440411219698087E-2</v>
      </c>
      <c r="O18" s="135"/>
      <c r="P18" s="135">
        <f>ROUND($J$89+MIN(10,$C18)*$J$90+MAX(0,$C18-10)*$J$91,2)+ROUND($D18*$J$92,2)</f>
        <v>38.200000000000003</v>
      </c>
      <c r="Q18" s="135">
        <f t="shared" si="6"/>
        <v>47.03</v>
      </c>
      <c r="R18" s="135">
        <f t="shared" si="15"/>
        <v>85.23</v>
      </c>
      <c r="S18" s="136"/>
      <c r="T18" s="135">
        <f t="shared" si="16"/>
        <v>0.89000000000000057</v>
      </c>
      <c r="U18" s="137">
        <f t="shared" si="17"/>
        <v>1.0552525492055971E-2</v>
      </c>
      <c r="V18" s="135"/>
      <c r="W18" s="135">
        <f t="shared" si="18"/>
        <v>38.14</v>
      </c>
      <c r="X18" s="135">
        <f t="shared" ref="X18:X52" si="21">ROUND($D18*$K$93,2)</f>
        <v>47.03</v>
      </c>
      <c r="Y18" s="135">
        <f t="shared" si="8"/>
        <v>85.17</v>
      </c>
      <c r="Z18" s="136"/>
      <c r="AA18" s="135">
        <f t="shared" si="19"/>
        <v>-6.0000000000002274E-2</v>
      </c>
      <c r="AB18" s="137">
        <f t="shared" si="20"/>
        <v>-7.0397747272089959E-4</v>
      </c>
    </row>
    <row r="19" spans="1:28" x14ac:dyDescent="0.3">
      <c r="A19" s="1">
        <f t="shared" si="0"/>
        <v>19</v>
      </c>
      <c r="B19" s="31"/>
      <c r="C19" s="105">
        <v>4</v>
      </c>
      <c r="D19" s="106">
        <f t="shared" si="9"/>
        <v>400</v>
      </c>
      <c r="E19" s="135">
        <f>ROUND($G$89+MIN(10,$C19)*$G$90+MAX(0,$C19-10)*$G$91,2)+ROUND($D19*$G$92,2)</f>
        <v>35.68</v>
      </c>
      <c r="F19" s="135">
        <f>ROUND($D19*$G$93,2)</f>
        <v>62.71</v>
      </c>
      <c r="G19" s="135">
        <f t="shared" si="10"/>
        <v>98.39</v>
      </c>
      <c r="H19" s="136"/>
      <c r="I19" s="135">
        <f>ROUND($I$89+MIN(10,$C19)*$I$90+MAX(0,$C19-10)*$I$91,2)+ROUND($D19*$I$92,2)</f>
        <v>43.08</v>
      </c>
      <c r="J19" s="135">
        <f t="shared" si="4"/>
        <v>62.71</v>
      </c>
      <c r="K19" s="135">
        <f t="shared" si="11"/>
        <v>105.78999999999999</v>
      </c>
      <c r="L19" s="136"/>
      <c r="M19" s="135">
        <f t="shared" si="12"/>
        <v>7.3999999999999915</v>
      </c>
      <c r="N19" s="137">
        <f t="shared" si="13"/>
        <v>7.521089541620074E-2</v>
      </c>
      <c r="O19" s="135"/>
      <c r="P19" s="135">
        <f t="shared" si="14"/>
        <v>44.260000000000005</v>
      </c>
      <c r="Q19" s="135">
        <f t="shared" si="6"/>
        <v>62.71</v>
      </c>
      <c r="R19" s="135">
        <f t="shared" si="15"/>
        <v>106.97</v>
      </c>
      <c r="S19" s="136"/>
      <c r="T19" s="135">
        <f t="shared" si="16"/>
        <v>1.1800000000000068</v>
      </c>
      <c r="U19" s="137">
        <f t="shared" si="17"/>
        <v>1.1154173362321647E-2</v>
      </c>
      <c r="V19" s="135"/>
      <c r="W19" s="135">
        <f t="shared" si="18"/>
        <v>44.18</v>
      </c>
      <c r="X19" s="135">
        <f t="shared" si="21"/>
        <v>62.71</v>
      </c>
      <c r="Y19" s="135">
        <f t="shared" si="8"/>
        <v>106.89</v>
      </c>
      <c r="Z19" s="136"/>
      <c r="AA19" s="135">
        <f t="shared" si="19"/>
        <v>-7.9999999999998295E-2</v>
      </c>
      <c r="AB19" s="137">
        <f t="shared" si="20"/>
        <v>-7.4787323548656907E-4</v>
      </c>
    </row>
    <row r="20" spans="1:28" x14ac:dyDescent="0.3">
      <c r="A20" s="1">
        <f t="shared" si="0"/>
        <v>20</v>
      </c>
      <c r="B20" s="31"/>
      <c r="C20" s="105">
        <v>5</v>
      </c>
      <c r="D20" s="106">
        <f t="shared" si="9"/>
        <v>500</v>
      </c>
      <c r="E20" s="135">
        <f>ROUND($G$89+MIN(10,$C20)*$G$90+MAX(0,$C20-10)*$G$91,2)+ROUND($D20*$G$92,2)</f>
        <v>39.6</v>
      </c>
      <c r="F20" s="135">
        <f t="shared" si="2"/>
        <v>78.39</v>
      </c>
      <c r="G20" s="135">
        <f t="shared" si="10"/>
        <v>117.99000000000001</v>
      </c>
      <c r="H20" s="136"/>
      <c r="I20" s="135">
        <f t="shared" si="3"/>
        <v>48.85</v>
      </c>
      <c r="J20" s="135">
        <f t="shared" si="4"/>
        <v>78.39</v>
      </c>
      <c r="K20" s="135">
        <f t="shared" si="11"/>
        <v>127.24000000000001</v>
      </c>
      <c r="L20" s="136"/>
      <c r="M20" s="135">
        <f t="shared" si="12"/>
        <v>9.25</v>
      </c>
      <c r="N20" s="137">
        <f t="shared" si="13"/>
        <v>7.8396474277481143E-2</v>
      </c>
      <c r="O20" s="135"/>
      <c r="P20" s="135">
        <f t="shared" si="14"/>
        <v>50.33</v>
      </c>
      <c r="Q20" s="135">
        <f t="shared" si="6"/>
        <v>78.39</v>
      </c>
      <c r="R20" s="135">
        <f t="shared" si="15"/>
        <v>128.72</v>
      </c>
      <c r="S20" s="136"/>
      <c r="T20" s="135">
        <f t="shared" si="16"/>
        <v>1.4799999999999898</v>
      </c>
      <c r="U20" s="137">
        <f t="shared" si="17"/>
        <v>1.1631562401760371E-2</v>
      </c>
      <c r="V20" s="135"/>
      <c r="W20" s="135">
        <f t="shared" si="18"/>
        <v>50.230000000000004</v>
      </c>
      <c r="X20" s="135">
        <f t="shared" si="21"/>
        <v>78.39</v>
      </c>
      <c r="Y20" s="135">
        <f t="shared" si="8"/>
        <v>128.62</v>
      </c>
      <c r="Z20" s="136"/>
      <c r="AA20" s="135">
        <f t="shared" si="19"/>
        <v>-9.9999999999994316E-2</v>
      </c>
      <c r="AB20" s="137">
        <f t="shared" si="20"/>
        <v>-7.7688004972027898E-4</v>
      </c>
    </row>
    <row r="21" spans="1:28" x14ac:dyDescent="0.3">
      <c r="A21" s="1">
        <f t="shared" si="0"/>
        <v>21</v>
      </c>
      <c r="B21" s="31"/>
      <c r="C21" s="105">
        <v>6</v>
      </c>
      <c r="D21" s="106">
        <f t="shared" si="9"/>
        <v>600</v>
      </c>
      <c r="E21" s="135">
        <f t="shared" si="1"/>
        <v>43.510000000000005</v>
      </c>
      <c r="F21" s="135">
        <f t="shared" si="2"/>
        <v>94.06</v>
      </c>
      <c r="G21" s="135">
        <f t="shared" si="10"/>
        <v>137.57</v>
      </c>
      <c r="H21" s="136"/>
      <c r="I21" s="135">
        <f t="shared" si="3"/>
        <v>54.62</v>
      </c>
      <c r="J21" s="135">
        <f t="shared" si="4"/>
        <v>94.06</v>
      </c>
      <c r="K21" s="135">
        <f t="shared" si="11"/>
        <v>148.68</v>
      </c>
      <c r="L21" s="136"/>
      <c r="M21" s="135">
        <f t="shared" si="12"/>
        <v>11.110000000000014</v>
      </c>
      <c r="N21" s="137">
        <f>+M21/G21</f>
        <v>8.0758886385113138E-2</v>
      </c>
      <c r="O21" s="135"/>
      <c r="P21" s="135">
        <f t="shared" si="14"/>
        <v>56.39</v>
      </c>
      <c r="Q21" s="135">
        <f t="shared" si="6"/>
        <v>94.06</v>
      </c>
      <c r="R21" s="135">
        <f t="shared" si="15"/>
        <v>150.44999999999999</v>
      </c>
      <c r="S21" s="136"/>
      <c r="T21" s="135">
        <f t="shared" si="16"/>
        <v>1.7699999999999818</v>
      </c>
      <c r="U21" s="137">
        <f t="shared" si="17"/>
        <v>1.1904761904761783E-2</v>
      </c>
      <c r="V21" s="135"/>
      <c r="W21" s="135">
        <f>ROUND($K$89+MIN(10,$C21)*$K$90+MAX(0,$C21-10)*$K$91,2)+ROUND($D21*$K$92,2)</f>
        <v>56.27</v>
      </c>
      <c r="X21" s="135">
        <f t="shared" si="21"/>
        <v>94.06</v>
      </c>
      <c r="Y21" s="135">
        <f t="shared" si="8"/>
        <v>150.33000000000001</v>
      </c>
      <c r="Z21" s="136"/>
      <c r="AA21" s="135">
        <f t="shared" si="19"/>
        <v>-0.11999999999997613</v>
      </c>
      <c r="AB21" s="137">
        <f t="shared" si="20"/>
        <v>-7.9760717846444752E-4</v>
      </c>
    </row>
    <row r="22" spans="1:28" x14ac:dyDescent="0.3">
      <c r="A22" s="1">
        <f t="shared" si="0"/>
        <v>22</v>
      </c>
      <c r="B22" s="31"/>
      <c r="C22" s="105">
        <v>10</v>
      </c>
      <c r="D22" s="106">
        <f t="shared" si="9"/>
        <v>1000</v>
      </c>
      <c r="E22" s="135">
        <f t="shared" si="1"/>
        <v>59.19</v>
      </c>
      <c r="F22" s="135">
        <f t="shared" si="2"/>
        <v>156.77000000000001</v>
      </c>
      <c r="G22" s="135">
        <f t="shared" si="10"/>
        <v>215.96</v>
      </c>
      <c r="H22" s="136"/>
      <c r="I22" s="135">
        <f t="shared" si="3"/>
        <v>77.7</v>
      </c>
      <c r="J22" s="135">
        <f t="shared" si="4"/>
        <v>156.77000000000001</v>
      </c>
      <c r="K22" s="135">
        <f t="shared" si="11"/>
        <v>234.47000000000003</v>
      </c>
      <c r="L22" s="136"/>
      <c r="M22" s="135">
        <f t="shared" si="12"/>
        <v>18.510000000000019</v>
      </c>
      <c r="N22" s="137">
        <f t="shared" si="13"/>
        <v>8.5710316725319591E-2</v>
      </c>
      <c r="O22" s="135"/>
      <c r="P22" s="135">
        <f t="shared" si="14"/>
        <v>80.650000000000006</v>
      </c>
      <c r="Q22" s="135">
        <f t="shared" si="6"/>
        <v>156.77000000000001</v>
      </c>
      <c r="R22" s="135">
        <f t="shared" si="15"/>
        <v>237.42000000000002</v>
      </c>
      <c r="S22" s="136"/>
      <c r="T22" s="135">
        <f t="shared" si="16"/>
        <v>2.9499999999999886</v>
      </c>
      <c r="U22" s="137">
        <f t="shared" si="17"/>
        <v>1.2581566938200998E-2</v>
      </c>
      <c r="V22" s="135"/>
      <c r="W22" s="135">
        <f t="shared" si="18"/>
        <v>80.45</v>
      </c>
      <c r="X22" s="135">
        <f t="shared" si="21"/>
        <v>156.77000000000001</v>
      </c>
      <c r="Y22" s="135">
        <f t="shared" si="8"/>
        <v>237.22000000000003</v>
      </c>
      <c r="Z22" s="136"/>
      <c r="AA22" s="135">
        <f t="shared" si="19"/>
        <v>-0.19999999999998863</v>
      </c>
      <c r="AB22" s="137">
        <f t="shared" si="20"/>
        <v>-8.4238901524719318E-4</v>
      </c>
    </row>
    <row r="23" spans="1:28" x14ac:dyDescent="0.3">
      <c r="A23" s="1">
        <f t="shared" si="0"/>
        <v>23</v>
      </c>
      <c r="B23" s="31"/>
      <c r="C23" s="105">
        <v>15</v>
      </c>
      <c r="D23" s="106">
        <f t="shared" si="9"/>
        <v>1500</v>
      </c>
      <c r="E23" s="135">
        <f t="shared" si="1"/>
        <v>262.54000000000002</v>
      </c>
      <c r="F23" s="135">
        <f t="shared" si="2"/>
        <v>235.16</v>
      </c>
      <c r="G23" s="135">
        <f t="shared" si="10"/>
        <v>497.70000000000005</v>
      </c>
      <c r="H23" s="136"/>
      <c r="I23" s="135">
        <f t="shared" si="3"/>
        <v>290.3</v>
      </c>
      <c r="J23" s="135">
        <f t="shared" si="4"/>
        <v>235.16</v>
      </c>
      <c r="K23" s="135">
        <f t="shared" si="11"/>
        <v>525.46</v>
      </c>
      <c r="L23" s="136"/>
      <c r="M23" s="135">
        <f t="shared" si="12"/>
        <v>27.759999999999991</v>
      </c>
      <c r="N23" s="137">
        <f t="shared" si="13"/>
        <v>5.5776572232268409E-2</v>
      </c>
      <c r="O23" s="135"/>
      <c r="P23" s="135">
        <f t="shared" si="14"/>
        <v>294.73</v>
      </c>
      <c r="Q23" s="135">
        <f t="shared" si="6"/>
        <v>235.16</v>
      </c>
      <c r="R23" s="135">
        <f t="shared" si="15"/>
        <v>529.89</v>
      </c>
      <c r="S23" s="136"/>
      <c r="T23" s="135">
        <f t="shared" si="16"/>
        <v>4.42999999999995</v>
      </c>
      <c r="U23" s="137">
        <f t="shared" si="17"/>
        <v>8.4307083317473261E-3</v>
      </c>
      <c r="V23" s="135"/>
      <c r="W23" s="135">
        <f t="shared" si="18"/>
        <v>294.43</v>
      </c>
      <c r="X23" s="135">
        <f t="shared" si="21"/>
        <v>235.16</v>
      </c>
      <c r="Y23" s="135">
        <f t="shared" si="8"/>
        <v>529.59</v>
      </c>
      <c r="Z23" s="136"/>
      <c r="AA23" s="135">
        <f t="shared" si="19"/>
        <v>-0.29999999999995453</v>
      </c>
      <c r="AB23" s="137">
        <f t="shared" si="20"/>
        <v>-5.6615523976665829E-4</v>
      </c>
    </row>
    <row r="24" spans="1:28" x14ac:dyDescent="0.3">
      <c r="A24" s="1">
        <f t="shared" si="0"/>
        <v>24</v>
      </c>
      <c r="B24" s="31"/>
      <c r="C24" s="106">
        <v>20</v>
      </c>
      <c r="D24" s="106">
        <f t="shared" si="9"/>
        <v>2000</v>
      </c>
      <c r="E24" s="135">
        <f t="shared" si="1"/>
        <v>465.88</v>
      </c>
      <c r="F24" s="135">
        <f t="shared" si="2"/>
        <v>313.54000000000002</v>
      </c>
      <c r="G24" s="135">
        <f t="shared" si="10"/>
        <v>779.42000000000007</v>
      </c>
      <c r="H24" s="136"/>
      <c r="I24" s="135">
        <f t="shared" si="3"/>
        <v>502.9</v>
      </c>
      <c r="J24" s="135">
        <f t="shared" si="4"/>
        <v>313.54000000000002</v>
      </c>
      <c r="K24" s="135">
        <f t="shared" si="11"/>
        <v>816.44</v>
      </c>
      <c r="L24" s="136"/>
      <c r="M24" s="135">
        <f t="shared" si="12"/>
        <v>37.019999999999982</v>
      </c>
      <c r="N24" s="137">
        <f t="shared" si="13"/>
        <v>4.7496856636986447E-2</v>
      </c>
      <c r="O24" s="135"/>
      <c r="P24" s="135">
        <f t="shared" si="14"/>
        <v>508.8</v>
      </c>
      <c r="Q24" s="135">
        <f t="shared" si="6"/>
        <v>313.54000000000002</v>
      </c>
      <c r="R24" s="135">
        <f t="shared" si="15"/>
        <v>822.34</v>
      </c>
      <c r="S24" s="136"/>
      <c r="T24" s="135">
        <f t="shared" si="16"/>
        <v>5.8999999999999773</v>
      </c>
      <c r="U24" s="137">
        <f t="shared" si="17"/>
        <v>7.2264955171230912E-3</v>
      </c>
      <c r="V24" s="135"/>
      <c r="W24" s="135">
        <f t="shared" si="18"/>
        <v>508.4</v>
      </c>
      <c r="X24" s="135">
        <f t="shared" si="21"/>
        <v>313.54000000000002</v>
      </c>
      <c r="Y24" s="135">
        <f t="shared" si="8"/>
        <v>821.94</v>
      </c>
      <c r="Z24" s="136"/>
      <c r="AA24" s="135">
        <f t="shared" si="19"/>
        <v>-0.39999999999997726</v>
      </c>
      <c r="AB24" s="137">
        <f t="shared" si="20"/>
        <v>-4.8641681056494544E-4</v>
      </c>
    </row>
    <row r="25" spans="1:28" x14ac:dyDescent="0.3">
      <c r="A25" s="1">
        <f t="shared" si="0"/>
        <v>25</v>
      </c>
      <c r="B25" s="31"/>
      <c r="C25" s="106">
        <v>40</v>
      </c>
      <c r="D25" s="106">
        <f t="shared" si="9"/>
        <v>4000</v>
      </c>
      <c r="E25" s="135">
        <f t="shared" si="1"/>
        <v>1279.26</v>
      </c>
      <c r="F25" s="135">
        <f t="shared" si="2"/>
        <v>627.08000000000004</v>
      </c>
      <c r="G25" s="135">
        <f t="shared" si="10"/>
        <v>1906.3400000000001</v>
      </c>
      <c r="H25" s="136"/>
      <c r="I25" s="135">
        <f t="shared" si="3"/>
        <v>1353.3</v>
      </c>
      <c r="J25" s="135">
        <f t="shared" si="4"/>
        <v>627.08000000000004</v>
      </c>
      <c r="K25" s="135">
        <f t="shared" si="11"/>
        <v>1980.38</v>
      </c>
      <c r="L25" s="136"/>
      <c r="M25" s="135">
        <f t="shared" si="12"/>
        <v>74.039999999999964</v>
      </c>
      <c r="N25" s="137">
        <f t="shared" si="13"/>
        <v>3.8838822035943202E-2</v>
      </c>
      <c r="O25" s="135"/>
      <c r="P25" s="135">
        <f t="shared" si="14"/>
        <v>1365.1</v>
      </c>
      <c r="Q25" s="135">
        <f t="shared" si="6"/>
        <v>627.08000000000004</v>
      </c>
      <c r="R25" s="135">
        <f t="shared" si="15"/>
        <v>1992.1799999999998</v>
      </c>
      <c r="S25" s="136"/>
      <c r="T25" s="135">
        <f t="shared" si="16"/>
        <v>11.799999999999727</v>
      </c>
      <c r="U25" s="137">
        <f t="shared" si="17"/>
        <v>5.958452418222627E-3</v>
      </c>
      <c r="V25" s="135"/>
      <c r="W25" s="135">
        <f t="shared" si="18"/>
        <v>1364.3</v>
      </c>
      <c r="X25" s="135">
        <f t="shared" si="21"/>
        <v>627.08000000000004</v>
      </c>
      <c r="Y25" s="135">
        <f t="shared" si="8"/>
        <v>1991.38</v>
      </c>
      <c r="Z25" s="136"/>
      <c r="AA25" s="135">
        <f t="shared" si="19"/>
        <v>-0.79999999999972715</v>
      </c>
      <c r="AB25" s="137">
        <f t="shared" si="20"/>
        <v>-4.0157013924430887E-4</v>
      </c>
    </row>
    <row r="26" spans="1:28" x14ac:dyDescent="0.3">
      <c r="A26" s="1">
        <f t="shared" si="0"/>
        <v>26</v>
      </c>
      <c r="B26" s="31" t="s">
        <v>52</v>
      </c>
      <c r="C26" s="106">
        <v>10</v>
      </c>
      <c r="D26" s="106">
        <f t="shared" si="9"/>
        <v>1000</v>
      </c>
      <c r="E26" s="135">
        <f t="shared" si="1"/>
        <v>59.19</v>
      </c>
      <c r="F26" s="135">
        <f t="shared" si="2"/>
        <v>156.77000000000001</v>
      </c>
      <c r="G26" s="135">
        <f t="shared" si="10"/>
        <v>215.96</v>
      </c>
      <c r="H26" s="136"/>
      <c r="I26" s="135">
        <f t="shared" si="3"/>
        <v>77.7</v>
      </c>
      <c r="J26" s="135">
        <f t="shared" si="4"/>
        <v>156.77000000000001</v>
      </c>
      <c r="K26" s="135">
        <f t="shared" si="11"/>
        <v>234.47000000000003</v>
      </c>
      <c r="L26" s="136"/>
      <c r="M26" s="135">
        <f t="shared" si="12"/>
        <v>18.510000000000019</v>
      </c>
      <c r="N26" s="137">
        <f t="shared" si="13"/>
        <v>8.5710316725319591E-2</v>
      </c>
      <c r="O26" s="135"/>
      <c r="P26" s="135">
        <f t="shared" si="14"/>
        <v>80.650000000000006</v>
      </c>
      <c r="Q26" s="135">
        <f t="shared" si="6"/>
        <v>156.77000000000001</v>
      </c>
      <c r="R26" s="135">
        <f t="shared" si="15"/>
        <v>237.42000000000002</v>
      </c>
      <c r="S26" s="136"/>
      <c r="T26" s="135">
        <f t="shared" si="16"/>
        <v>2.9499999999999886</v>
      </c>
      <c r="U26" s="137">
        <f t="shared" si="17"/>
        <v>1.2581566938200998E-2</v>
      </c>
      <c r="V26" s="135"/>
      <c r="W26" s="135">
        <f t="shared" si="18"/>
        <v>80.45</v>
      </c>
      <c r="X26" s="135">
        <f t="shared" si="21"/>
        <v>156.77000000000001</v>
      </c>
      <c r="Y26" s="135">
        <f t="shared" si="8"/>
        <v>237.22000000000003</v>
      </c>
      <c r="Z26" s="136"/>
      <c r="AA26" s="135">
        <f t="shared" si="19"/>
        <v>-0.19999999999998863</v>
      </c>
      <c r="AB26" s="137">
        <f t="shared" si="20"/>
        <v>-8.4238901524719318E-4</v>
      </c>
    </row>
    <row r="27" spans="1:28" x14ac:dyDescent="0.3">
      <c r="A27" s="1">
        <f t="shared" si="0"/>
        <v>27</v>
      </c>
      <c r="B27" s="31"/>
      <c r="C27" s="105"/>
      <c r="D27" s="105"/>
      <c r="E27" s="135"/>
      <c r="F27" s="135"/>
      <c r="G27" s="139"/>
      <c r="H27" s="140"/>
      <c r="I27" s="135"/>
      <c r="J27" s="135"/>
      <c r="K27" s="135"/>
      <c r="L27" s="44"/>
      <c r="M27" s="139"/>
      <c r="N27" s="139"/>
      <c r="O27" s="139"/>
      <c r="P27" s="135"/>
      <c r="Q27" s="135"/>
      <c r="R27" s="139"/>
      <c r="S27" s="139"/>
      <c r="T27" s="135"/>
      <c r="U27" s="137"/>
      <c r="V27" s="139"/>
      <c r="W27" s="135"/>
      <c r="X27" s="135"/>
      <c r="Z27" s="17"/>
      <c r="AA27" s="135"/>
      <c r="AB27" s="137"/>
    </row>
    <row r="28" spans="1:28" x14ac:dyDescent="0.3">
      <c r="A28" s="1">
        <f t="shared" si="0"/>
        <v>28</v>
      </c>
      <c r="B28" s="104"/>
      <c r="C28" s="164" t="s">
        <v>126</v>
      </c>
      <c r="D28" s="104">
        <v>240</v>
      </c>
      <c r="E28" s="135"/>
      <c r="F28" s="135"/>
      <c r="G28" s="132"/>
      <c r="H28" s="44"/>
      <c r="I28" s="135"/>
      <c r="J28" s="135"/>
      <c r="P28" s="135"/>
      <c r="Q28" s="135"/>
      <c r="T28" s="135"/>
      <c r="U28" s="137"/>
      <c r="W28" s="135"/>
      <c r="X28" s="135"/>
      <c r="Z28" s="17"/>
      <c r="AA28" s="135"/>
      <c r="AB28" s="137"/>
    </row>
    <row r="29" spans="1:28" x14ac:dyDescent="0.3">
      <c r="A29" s="1">
        <f t="shared" si="0"/>
        <v>29</v>
      </c>
      <c r="B29" s="31"/>
      <c r="C29" s="105">
        <v>1</v>
      </c>
      <c r="D29" s="106">
        <f>C29*$D$28</f>
        <v>240</v>
      </c>
      <c r="E29" s="135">
        <f t="shared" ref="E29:E39" si="22">ROUND($G$89+MIN(10,$C29)*$G$90+MAX(0,$C29-10)*$G$91,2)+ROUND($D29*$G$92,2)</f>
        <v>29.41</v>
      </c>
      <c r="F29" s="135">
        <f t="shared" ref="F29:F39" si="23">ROUND($D29*$G$93,2)</f>
        <v>37.619999999999997</v>
      </c>
      <c r="G29" s="135">
        <f t="shared" ref="G29" si="24">SUM(E29:F29)</f>
        <v>67.03</v>
      </c>
      <c r="H29" s="135"/>
      <c r="I29" s="135">
        <f t="shared" ref="I29:I39" si="25">ROUND($I$89+MIN(10,$C29)*$I$90+MAX(0,$C29-10)*$I$91,2)+ROUND($D29*$I$92,2)</f>
        <v>33.85</v>
      </c>
      <c r="J29" s="135">
        <f t="shared" ref="J29:J39" si="26">ROUND($D29*$I$93,2)</f>
        <v>37.619999999999997</v>
      </c>
      <c r="K29" s="135">
        <f t="shared" ref="K29" si="27">SUM(I29:J29)</f>
        <v>71.47</v>
      </c>
      <c r="L29" s="136"/>
      <c r="M29" s="135">
        <f t="shared" ref="M29:M39" si="28">+K29-G29</f>
        <v>4.4399999999999977</v>
      </c>
      <c r="N29" s="137">
        <f t="shared" ref="N29:N33" si="29">+M29/G29</f>
        <v>6.6238997463822127E-2</v>
      </c>
      <c r="O29" s="135"/>
      <c r="P29" s="135">
        <f t="shared" ref="P29:P39" si="30">ROUND($J$89+MIN(10,$C29)*$J$90+MAX(0,$C29-10)*$J$91,2)+ROUND($D29*$J$92,2)</f>
        <v>34.56</v>
      </c>
      <c r="Q29" s="135">
        <f t="shared" ref="Q29:Q39" si="31">ROUND($D29*$J$93,2)</f>
        <v>37.619999999999997</v>
      </c>
      <c r="R29" s="135">
        <f t="shared" ref="R29" si="32">SUM(P29:Q29)</f>
        <v>72.180000000000007</v>
      </c>
      <c r="S29" s="136"/>
      <c r="T29" s="135">
        <f t="shared" si="16"/>
        <v>0.71000000000000796</v>
      </c>
      <c r="U29" s="137">
        <f t="shared" si="17"/>
        <v>9.9342381418778217E-3</v>
      </c>
      <c r="V29" s="135"/>
      <c r="W29" s="135">
        <f t="shared" si="18"/>
        <v>34.51</v>
      </c>
      <c r="X29" s="135">
        <f t="shared" si="21"/>
        <v>37.619999999999997</v>
      </c>
      <c r="Y29" s="135">
        <f t="shared" ref="Y29:Y39" si="33">SUM(W29:X29)</f>
        <v>72.13</v>
      </c>
      <c r="Z29" s="136"/>
      <c r="AA29" s="135">
        <f t="shared" si="19"/>
        <v>-5.0000000000011369E-2</v>
      </c>
      <c r="AB29" s="137">
        <f t="shared" si="20"/>
        <v>-6.9271266278763321E-4</v>
      </c>
    </row>
    <row r="30" spans="1:28" x14ac:dyDescent="0.3">
      <c r="A30" s="1">
        <f t="shared" si="0"/>
        <v>30</v>
      </c>
      <c r="B30" s="31"/>
      <c r="C30" s="105">
        <v>3</v>
      </c>
      <c r="D30" s="106">
        <f t="shared" ref="D30:D39" si="34">C30*$D$28</f>
        <v>720</v>
      </c>
      <c r="E30" s="135">
        <f t="shared" si="22"/>
        <v>48.22</v>
      </c>
      <c r="F30" s="135">
        <f t="shared" si="23"/>
        <v>112.87</v>
      </c>
      <c r="G30" s="135">
        <f t="shared" ref="G30:G39" si="35">SUM(E30:F30)</f>
        <v>161.09</v>
      </c>
      <c r="H30" s="136"/>
      <c r="I30" s="135">
        <f t="shared" si="25"/>
        <v>61.54</v>
      </c>
      <c r="J30" s="135">
        <f t="shared" si="26"/>
        <v>112.87</v>
      </c>
      <c r="K30" s="135">
        <f t="shared" ref="K30:K39" si="36">SUM(I30:J30)</f>
        <v>174.41</v>
      </c>
      <c r="L30" s="136"/>
      <c r="M30" s="135">
        <f t="shared" si="28"/>
        <v>13.319999999999993</v>
      </c>
      <c r="N30" s="137">
        <f t="shared" si="29"/>
        <v>8.2686696877521837E-2</v>
      </c>
      <c r="O30" s="135"/>
      <c r="P30" s="135">
        <f t="shared" si="30"/>
        <v>63.67</v>
      </c>
      <c r="Q30" s="135">
        <f t="shared" si="31"/>
        <v>112.87</v>
      </c>
      <c r="R30" s="135">
        <f t="shared" ref="R30:R39" si="37">SUM(P30:Q30)</f>
        <v>176.54000000000002</v>
      </c>
      <c r="S30" s="136"/>
      <c r="T30" s="135">
        <f t="shared" si="16"/>
        <v>2.1300000000000239</v>
      </c>
      <c r="U30" s="137">
        <f t="shared" si="17"/>
        <v>1.2212602488389564E-2</v>
      </c>
      <c r="V30" s="135"/>
      <c r="W30" s="135">
        <f t="shared" si="18"/>
        <v>63.52</v>
      </c>
      <c r="X30" s="135">
        <f t="shared" si="21"/>
        <v>112.87</v>
      </c>
      <c r="Y30" s="135">
        <f t="shared" si="33"/>
        <v>176.39000000000001</v>
      </c>
      <c r="Z30" s="136"/>
      <c r="AA30" s="135">
        <f t="shared" si="19"/>
        <v>-0.15000000000000568</v>
      </c>
      <c r="AB30" s="137">
        <f t="shared" si="20"/>
        <v>-8.4966579811943848E-4</v>
      </c>
    </row>
    <row r="31" spans="1:28" x14ac:dyDescent="0.3">
      <c r="A31" s="1">
        <f t="shared" si="0"/>
        <v>31</v>
      </c>
      <c r="B31" s="31"/>
      <c r="C31" s="105">
        <v>5</v>
      </c>
      <c r="D31" s="106">
        <f t="shared" si="34"/>
        <v>1200</v>
      </c>
      <c r="E31" s="135">
        <f t="shared" si="22"/>
        <v>67.03</v>
      </c>
      <c r="F31" s="135">
        <f t="shared" si="23"/>
        <v>188.12</v>
      </c>
      <c r="G31" s="135">
        <f t="shared" si="35"/>
        <v>255.15</v>
      </c>
      <c r="H31" s="136"/>
      <c r="I31" s="135">
        <f t="shared" si="25"/>
        <v>89.24</v>
      </c>
      <c r="J31" s="135">
        <f t="shared" si="26"/>
        <v>188.12</v>
      </c>
      <c r="K31" s="135">
        <f t="shared" si="36"/>
        <v>277.36</v>
      </c>
      <c r="L31" s="136"/>
      <c r="M31" s="135">
        <f t="shared" si="28"/>
        <v>22.210000000000008</v>
      </c>
      <c r="N31" s="137">
        <f t="shared" si="29"/>
        <v>8.7046835194983366E-2</v>
      </c>
      <c r="O31" s="135"/>
      <c r="P31" s="135">
        <f t="shared" si="30"/>
        <v>92.78</v>
      </c>
      <c r="Q31" s="135">
        <f t="shared" si="31"/>
        <v>188.12</v>
      </c>
      <c r="R31" s="135">
        <f t="shared" si="37"/>
        <v>280.89999999999998</v>
      </c>
      <c r="S31" s="136"/>
      <c r="T31" s="135">
        <f t="shared" si="16"/>
        <v>3.5399999999999636</v>
      </c>
      <c r="U31" s="137">
        <f t="shared" si="17"/>
        <v>1.2763195846553084E-2</v>
      </c>
      <c r="V31" s="135"/>
      <c r="W31" s="135">
        <f t="shared" si="18"/>
        <v>92.54</v>
      </c>
      <c r="X31" s="135">
        <f t="shared" si="21"/>
        <v>188.12</v>
      </c>
      <c r="Y31" s="135">
        <f t="shared" si="33"/>
        <v>280.66000000000003</v>
      </c>
      <c r="Z31" s="136"/>
      <c r="AA31" s="135">
        <f t="shared" si="19"/>
        <v>-0.23999999999995225</v>
      </c>
      <c r="AB31" s="137">
        <f t="shared" si="20"/>
        <v>-8.5439658241350045E-4</v>
      </c>
    </row>
    <row r="32" spans="1:28" x14ac:dyDescent="0.3">
      <c r="A32" s="1">
        <f t="shared" si="0"/>
        <v>32</v>
      </c>
      <c r="B32" s="31"/>
      <c r="C32" s="105">
        <v>7</v>
      </c>
      <c r="D32" s="106">
        <f t="shared" si="34"/>
        <v>1680</v>
      </c>
      <c r="E32" s="135">
        <f>ROUND($G$89+MIN(10,$C32)*$G$90+MAX(0,$C32-10)*$G$91,2)+ROUND($D32*$G$92,2)</f>
        <v>85.84</v>
      </c>
      <c r="F32" s="135">
        <f t="shared" si="23"/>
        <v>263.37</v>
      </c>
      <c r="G32" s="135">
        <f t="shared" si="35"/>
        <v>349.21000000000004</v>
      </c>
      <c r="H32" s="136"/>
      <c r="I32" s="135">
        <f t="shared" si="25"/>
        <v>116.94</v>
      </c>
      <c r="J32" s="135">
        <f t="shared" si="26"/>
        <v>263.37</v>
      </c>
      <c r="K32" s="135">
        <f t="shared" si="36"/>
        <v>380.31</v>
      </c>
      <c r="L32" s="136"/>
      <c r="M32" s="135">
        <f t="shared" si="28"/>
        <v>31.099999999999966</v>
      </c>
      <c r="N32" s="137">
        <f t="shared" si="29"/>
        <v>8.9058159846510582E-2</v>
      </c>
      <c r="O32" s="135"/>
      <c r="P32" s="135">
        <f>ROUND($J$89+MIN(10,$C32)*$J$90+MAX(0,$C32-10)*$J$91,2)+ROUND($D32*$J$92,2)</f>
        <v>121.89</v>
      </c>
      <c r="Q32" s="135">
        <f t="shared" si="31"/>
        <v>263.37</v>
      </c>
      <c r="R32" s="135">
        <f t="shared" si="37"/>
        <v>385.26</v>
      </c>
      <c r="S32" s="136"/>
      <c r="T32" s="135">
        <f t="shared" si="16"/>
        <v>4.9499999999999886</v>
      </c>
      <c r="U32" s="137">
        <f t="shared" si="17"/>
        <v>1.3015697720280793E-2</v>
      </c>
      <c r="V32" s="135"/>
      <c r="W32" s="135">
        <f>ROUND($K$89+MIN(10,$C32)*$K$90+MAX(0,$C32-10)*$K$91,2)+ROUND($D32*$K$92,2)</f>
        <v>121.56</v>
      </c>
      <c r="X32" s="135">
        <f t="shared" si="21"/>
        <v>263.37</v>
      </c>
      <c r="Y32" s="135">
        <f t="shared" si="33"/>
        <v>384.93</v>
      </c>
      <c r="Z32" s="136"/>
      <c r="AA32" s="135">
        <f t="shared" si="19"/>
        <v>-0.32999999999998408</v>
      </c>
      <c r="AB32" s="137">
        <f t="shared" si="20"/>
        <v>-8.5656439806879535E-4</v>
      </c>
    </row>
    <row r="33" spans="1:28" x14ac:dyDescent="0.3">
      <c r="A33" s="1">
        <f t="shared" si="0"/>
        <v>33</v>
      </c>
      <c r="B33" s="31"/>
      <c r="C33" s="105">
        <v>9</v>
      </c>
      <c r="D33" s="106">
        <f t="shared" si="34"/>
        <v>2160</v>
      </c>
      <c r="E33" s="135">
        <f t="shared" si="22"/>
        <v>104.65</v>
      </c>
      <c r="F33" s="135">
        <f>ROUND($D33*$G$93,2)</f>
        <v>338.62</v>
      </c>
      <c r="G33" s="135">
        <f t="shared" si="35"/>
        <v>443.27</v>
      </c>
      <c r="H33" s="136"/>
      <c r="I33" s="135">
        <f>ROUND($I$89+MIN(10,$C33)*$I$90+MAX(0,$C33-10)*$I$91,2)+ROUND($D33*$I$92,2)</f>
        <v>144.63</v>
      </c>
      <c r="J33" s="135">
        <f t="shared" si="26"/>
        <v>338.62</v>
      </c>
      <c r="K33" s="135">
        <f t="shared" si="36"/>
        <v>483.25</v>
      </c>
      <c r="L33" s="136"/>
      <c r="M33" s="135">
        <f t="shared" si="28"/>
        <v>39.980000000000018</v>
      </c>
      <c r="N33" s="137">
        <f t="shared" si="29"/>
        <v>9.0193335890089613E-2</v>
      </c>
      <c r="O33" s="135"/>
      <c r="P33" s="135">
        <f t="shared" si="30"/>
        <v>151</v>
      </c>
      <c r="Q33" s="135">
        <f t="shared" si="31"/>
        <v>338.62</v>
      </c>
      <c r="R33" s="135">
        <f t="shared" si="37"/>
        <v>489.62</v>
      </c>
      <c r="S33" s="136"/>
      <c r="T33" s="135">
        <f t="shared" si="16"/>
        <v>6.3700000000000045</v>
      </c>
      <c r="U33" s="137">
        <f t="shared" si="17"/>
        <v>1.3181583031557174E-2</v>
      </c>
      <c r="V33" s="135"/>
      <c r="W33" s="135">
        <f t="shared" si="18"/>
        <v>150.57</v>
      </c>
      <c r="X33" s="135">
        <f t="shared" si="21"/>
        <v>338.62</v>
      </c>
      <c r="Y33" s="135">
        <f t="shared" si="33"/>
        <v>489.19</v>
      </c>
      <c r="Z33" s="136"/>
      <c r="AA33" s="135">
        <f t="shared" si="19"/>
        <v>-0.43000000000000682</v>
      </c>
      <c r="AB33" s="137">
        <f t="shared" si="20"/>
        <v>-8.7823209836200892E-4</v>
      </c>
    </row>
    <row r="34" spans="1:28" x14ac:dyDescent="0.3">
      <c r="A34" s="1">
        <f t="shared" si="0"/>
        <v>34</v>
      </c>
      <c r="B34" s="31"/>
      <c r="C34" s="105">
        <v>12</v>
      </c>
      <c r="D34" s="106">
        <f t="shared" si="34"/>
        <v>2880</v>
      </c>
      <c r="E34" s="135">
        <f>ROUND($G$89+MIN(10,$C34)*$G$90+MAX(0,$C34-10)*$G$91,2)+ROUND($D34*$G$92,2)</f>
        <v>206.37</v>
      </c>
      <c r="F34" s="135">
        <f t="shared" si="23"/>
        <v>451.5</v>
      </c>
      <c r="G34" s="135">
        <f t="shared" si="35"/>
        <v>657.87</v>
      </c>
      <c r="H34" s="136"/>
      <c r="I34" s="135">
        <f>ROUND($I$89+MIN(10,$C34)*$I$90+MAX(0,$C34-10)*$I$91,2)+ROUND($D34*$I$92,2)</f>
        <v>259.68</v>
      </c>
      <c r="J34" s="135">
        <f t="shared" si="26"/>
        <v>451.5</v>
      </c>
      <c r="K34" s="135">
        <f t="shared" si="36"/>
        <v>711.18000000000006</v>
      </c>
      <c r="L34" s="136"/>
      <c r="M34" s="135">
        <f t="shared" si="28"/>
        <v>53.310000000000059</v>
      </c>
      <c r="N34" s="137">
        <f>+M34/G34</f>
        <v>8.103424688768307E-2</v>
      </c>
      <c r="O34" s="135"/>
      <c r="P34" s="135">
        <f t="shared" si="30"/>
        <v>268.16999999999996</v>
      </c>
      <c r="Q34" s="135">
        <f t="shared" si="31"/>
        <v>451.5</v>
      </c>
      <c r="R34" s="135">
        <f t="shared" si="37"/>
        <v>719.67</v>
      </c>
      <c r="S34" s="136"/>
      <c r="T34" s="135">
        <f t="shared" si="16"/>
        <v>8.4899999999998954</v>
      </c>
      <c r="U34" s="137">
        <f t="shared" si="17"/>
        <v>1.1937906015354615E-2</v>
      </c>
      <c r="V34" s="135"/>
      <c r="W34" s="135">
        <f t="shared" si="18"/>
        <v>267.60000000000002</v>
      </c>
      <c r="X34" s="135">
        <f t="shared" si="21"/>
        <v>451.5</v>
      </c>
      <c r="Y34" s="135">
        <f t="shared" si="33"/>
        <v>719.1</v>
      </c>
      <c r="Z34" s="136"/>
      <c r="AA34" s="135">
        <f t="shared" si="19"/>
        <v>-0.56999999999993634</v>
      </c>
      <c r="AB34" s="137">
        <f t="shared" si="20"/>
        <v>-7.9202968027003537E-4</v>
      </c>
    </row>
    <row r="35" spans="1:28" x14ac:dyDescent="0.3">
      <c r="A35" s="1">
        <f t="shared" si="0"/>
        <v>35</v>
      </c>
      <c r="B35" s="31"/>
      <c r="C35" s="105">
        <v>15</v>
      </c>
      <c r="D35" s="106">
        <f t="shared" si="34"/>
        <v>3600</v>
      </c>
      <c r="E35" s="135">
        <f t="shared" si="22"/>
        <v>344.83000000000004</v>
      </c>
      <c r="F35" s="135">
        <f t="shared" si="23"/>
        <v>564.37</v>
      </c>
      <c r="G35" s="135">
        <f t="shared" si="35"/>
        <v>909.2</v>
      </c>
      <c r="H35" s="136"/>
      <c r="I35" s="135">
        <f t="shared" si="25"/>
        <v>411.47</v>
      </c>
      <c r="J35" s="135">
        <f>ROUND($D35*$I$93,2)</f>
        <v>564.37</v>
      </c>
      <c r="K35" s="135">
        <f t="shared" si="36"/>
        <v>975.84</v>
      </c>
      <c r="L35" s="136"/>
      <c r="M35" s="135">
        <f t="shared" si="28"/>
        <v>66.639999999999986</v>
      </c>
      <c r="N35" s="137">
        <f t="shared" ref="N35:N39" si="38">+M35/G35</f>
        <v>7.3295204575450926E-2</v>
      </c>
      <c r="O35" s="135"/>
      <c r="P35" s="135">
        <f t="shared" si="30"/>
        <v>422.09000000000003</v>
      </c>
      <c r="Q35" s="135">
        <f t="shared" si="31"/>
        <v>564.37</v>
      </c>
      <c r="R35" s="135">
        <f t="shared" si="37"/>
        <v>986.46</v>
      </c>
      <c r="S35" s="136"/>
      <c r="T35" s="135">
        <f t="shared" si="16"/>
        <v>10.620000000000005</v>
      </c>
      <c r="U35" s="137">
        <f t="shared" si="17"/>
        <v>1.0882931628135764E-2</v>
      </c>
      <c r="V35" s="135"/>
      <c r="W35" s="135">
        <f t="shared" si="18"/>
        <v>421.37</v>
      </c>
      <c r="X35" s="135">
        <f>ROUND($D35*$K$93,2)</f>
        <v>564.37</v>
      </c>
      <c r="Y35" s="135">
        <f t="shared" si="33"/>
        <v>985.74</v>
      </c>
      <c r="Z35" s="136"/>
      <c r="AA35" s="135">
        <f t="shared" si="19"/>
        <v>-0.72000000000002728</v>
      </c>
      <c r="AB35" s="137">
        <f t="shared" si="20"/>
        <v>-7.2988261054683136E-4</v>
      </c>
    </row>
    <row r="36" spans="1:28" x14ac:dyDescent="0.3">
      <c r="A36" s="1">
        <f t="shared" si="0"/>
        <v>36</v>
      </c>
      <c r="B36" s="31"/>
      <c r="C36" s="105">
        <v>20</v>
      </c>
      <c r="D36" s="106">
        <f t="shared" si="34"/>
        <v>4800</v>
      </c>
      <c r="E36" s="135">
        <f t="shared" si="22"/>
        <v>575.61</v>
      </c>
      <c r="F36" s="135">
        <f t="shared" si="23"/>
        <v>752.5</v>
      </c>
      <c r="G36" s="135">
        <f t="shared" si="35"/>
        <v>1328.1100000000001</v>
      </c>
      <c r="H36" s="136"/>
      <c r="I36" s="135">
        <f t="shared" si="25"/>
        <v>664.46</v>
      </c>
      <c r="J36" s="135">
        <f t="shared" si="26"/>
        <v>752.5</v>
      </c>
      <c r="K36" s="135">
        <f t="shared" si="36"/>
        <v>1416.96</v>
      </c>
      <c r="L36" s="136"/>
      <c r="M36" s="135">
        <f t="shared" si="28"/>
        <v>88.849999999999909</v>
      </c>
      <c r="N36" s="137">
        <f t="shared" si="38"/>
        <v>6.6899579101128592E-2</v>
      </c>
      <c r="O36" s="135"/>
      <c r="P36" s="135">
        <f t="shared" si="30"/>
        <v>678.62</v>
      </c>
      <c r="Q36" s="135">
        <f t="shared" si="31"/>
        <v>752.5</v>
      </c>
      <c r="R36" s="135">
        <f t="shared" si="37"/>
        <v>1431.12</v>
      </c>
      <c r="S36" s="136"/>
      <c r="T36" s="135">
        <f t="shared" si="16"/>
        <v>14.159999999999854</v>
      </c>
      <c r="U36" s="137">
        <f t="shared" si="17"/>
        <v>9.993224932249219E-3</v>
      </c>
      <c r="V36" s="135"/>
      <c r="W36" s="135">
        <f t="shared" si="18"/>
        <v>677.66000000000008</v>
      </c>
      <c r="X36" s="135">
        <f t="shared" si="21"/>
        <v>752.5</v>
      </c>
      <c r="Y36" s="135">
        <f t="shared" si="33"/>
        <v>1430.16</v>
      </c>
      <c r="Z36" s="136"/>
      <c r="AA36" s="135">
        <f t="shared" si="19"/>
        <v>-0.95999999999980901</v>
      </c>
      <c r="AB36" s="137">
        <f t="shared" si="20"/>
        <v>-6.7080328693597258E-4</v>
      </c>
    </row>
    <row r="37" spans="1:28" x14ac:dyDescent="0.3">
      <c r="A37" s="1">
        <f t="shared" si="0"/>
        <v>37</v>
      </c>
      <c r="B37" s="31"/>
      <c r="C37" s="106">
        <v>30</v>
      </c>
      <c r="D37" s="106">
        <f t="shared" si="34"/>
        <v>7200</v>
      </c>
      <c r="E37" s="135">
        <f t="shared" si="22"/>
        <v>1037.17</v>
      </c>
      <c r="F37" s="135">
        <f t="shared" si="23"/>
        <v>1128.74</v>
      </c>
      <c r="G37" s="135">
        <f t="shared" si="35"/>
        <v>2165.91</v>
      </c>
      <c r="H37" s="136"/>
      <c r="I37" s="135">
        <f t="shared" si="25"/>
        <v>1170.44</v>
      </c>
      <c r="J37" s="135">
        <f t="shared" si="26"/>
        <v>1128.74</v>
      </c>
      <c r="K37" s="135">
        <f t="shared" si="36"/>
        <v>2299.1800000000003</v>
      </c>
      <c r="L37" s="136"/>
      <c r="M37" s="135">
        <f t="shared" si="28"/>
        <v>133.27000000000044</v>
      </c>
      <c r="N37" s="137">
        <f t="shared" si="38"/>
        <v>6.153071918962489E-2</v>
      </c>
      <c r="O37" s="135"/>
      <c r="P37" s="135">
        <f t="shared" si="30"/>
        <v>1191.68</v>
      </c>
      <c r="Q37" s="135">
        <f t="shared" si="31"/>
        <v>1128.74</v>
      </c>
      <c r="R37" s="135">
        <f t="shared" si="37"/>
        <v>2320.42</v>
      </c>
      <c r="S37" s="136"/>
      <c r="T37" s="135">
        <f t="shared" si="16"/>
        <v>21.239999999999782</v>
      </c>
      <c r="U37" s="137">
        <f t="shared" si="17"/>
        <v>9.2380761836827821E-3</v>
      </c>
      <c r="V37" s="135"/>
      <c r="W37" s="135">
        <f t="shared" si="18"/>
        <v>1190.24</v>
      </c>
      <c r="X37" s="135">
        <f t="shared" si="21"/>
        <v>1128.74</v>
      </c>
      <c r="Y37" s="135">
        <f t="shared" si="33"/>
        <v>2318.98</v>
      </c>
      <c r="Z37" s="136"/>
      <c r="AA37" s="135">
        <f t="shared" si="19"/>
        <v>-1.4400000000000546</v>
      </c>
      <c r="AB37" s="137">
        <f t="shared" si="20"/>
        <v>-6.2057730928023996E-4</v>
      </c>
    </row>
    <row r="38" spans="1:28" x14ac:dyDescent="0.3">
      <c r="A38" s="1">
        <f t="shared" si="0"/>
        <v>38</v>
      </c>
      <c r="B38" s="31"/>
      <c r="C38" s="106">
        <v>60</v>
      </c>
      <c r="D38" s="106">
        <f t="shared" si="34"/>
        <v>14400</v>
      </c>
      <c r="E38" s="135">
        <f t="shared" si="22"/>
        <v>2421.84</v>
      </c>
      <c r="F38" s="135">
        <f t="shared" si="23"/>
        <v>2257.4899999999998</v>
      </c>
      <c r="G38" s="135">
        <f t="shared" si="35"/>
        <v>4679.33</v>
      </c>
      <c r="H38" s="136"/>
      <c r="I38" s="135">
        <f t="shared" si="25"/>
        <v>2688.38</v>
      </c>
      <c r="J38" s="135">
        <f t="shared" si="26"/>
        <v>2257.4899999999998</v>
      </c>
      <c r="K38" s="135">
        <f t="shared" si="36"/>
        <v>4945.87</v>
      </c>
      <c r="L38" s="136"/>
      <c r="M38" s="135">
        <f t="shared" si="28"/>
        <v>266.53999999999996</v>
      </c>
      <c r="N38" s="137">
        <f t="shared" si="38"/>
        <v>5.6961146146991125E-2</v>
      </c>
      <c r="O38" s="135"/>
      <c r="P38" s="135">
        <f t="shared" si="30"/>
        <v>2730.86</v>
      </c>
      <c r="Q38" s="135">
        <f t="shared" si="31"/>
        <v>2257.4899999999998</v>
      </c>
      <c r="R38" s="135">
        <f t="shared" si="37"/>
        <v>4988.3500000000004</v>
      </c>
      <c r="S38" s="136"/>
      <c r="T38" s="135">
        <f t="shared" si="16"/>
        <v>42.480000000000473</v>
      </c>
      <c r="U38" s="137">
        <f t="shared" si="17"/>
        <v>8.5889843445138003E-3</v>
      </c>
      <c r="V38" s="135"/>
      <c r="W38" s="135">
        <f t="shared" si="18"/>
        <v>2727.98</v>
      </c>
      <c r="X38" s="135">
        <f t="shared" si="21"/>
        <v>2257.4899999999998</v>
      </c>
      <c r="Y38" s="135">
        <f t="shared" si="33"/>
        <v>4985.4699999999993</v>
      </c>
      <c r="Z38" s="136"/>
      <c r="AA38" s="135">
        <f t="shared" si="19"/>
        <v>-2.8800000000010186</v>
      </c>
      <c r="AB38" s="137">
        <f t="shared" si="20"/>
        <v>-5.7734521434963835E-4</v>
      </c>
    </row>
    <row r="39" spans="1:28" x14ac:dyDescent="0.3">
      <c r="A39" s="1">
        <f t="shared" si="0"/>
        <v>39</v>
      </c>
      <c r="B39" s="31" t="s">
        <v>52</v>
      </c>
      <c r="C39" s="106">
        <v>16</v>
      </c>
      <c r="D39" s="106">
        <f t="shared" si="34"/>
        <v>3840</v>
      </c>
      <c r="E39" s="135">
        <f t="shared" si="22"/>
        <v>390.99</v>
      </c>
      <c r="F39" s="135">
        <f t="shared" si="23"/>
        <v>602</v>
      </c>
      <c r="G39" s="135">
        <f t="shared" si="35"/>
        <v>992.99</v>
      </c>
      <c r="H39" s="136"/>
      <c r="I39" s="135">
        <f t="shared" si="25"/>
        <v>462.07</v>
      </c>
      <c r="J39" s="135">
        <f t="shared" si="26"/>
        <v>602</v>
      </c>
      <c r="K39" s="135">
        <f t="shared" si="36"/>
        <v>1064.07</v>
      </c>
      <c r="L39" s="136"/>
      <c r="M39" s="135">
        <f t="shared" si="28"/>
        <v>71.079999999999927</v>
      </c>
      <c r="N39" s="137">
        <f t="shared" si="38"/>
        <v>7.1581788336236948E-2</v>
      </c>
      <c r="O39" s="135"/>
      <c r="P39" s="135">
        <f t="shared" si="30"/>
        <v>473.4</v>
      </c>
      <c r="Q39" s="135">
        <f t="shared" si="31"/>
        <v>602</v>
      </c>
      <c r="R39" s="135">
        <f t="shared" si="37"/>
        <v>1075.4000000000001</v>
      </c>
      <c r="S39" s="136"/>
      <c r="T39" s="135">
        <f t="shared" si="16"/>
        <v>11.330000000000155</v>
      </c>
      <c r="U39" s="137">
        <f t="shared" si="17"/>
        <v>1.0647795727724826E-2</v>
      </c>
      <c r="V39" s="135"/>
      <c r="W39" s="135">
        <f t="shared" si="18"/>
        <v>472.63</v>
      </c>
      <c r="X39" s="135">
        <f t="shared" si="21"/>
        <v>602</v>
      </c>
      <c r="Y39" s="135">
        <f t="shared" si="33"/>
        <v>1074.6300000000001</v>
      </c>
      <c r="Z39" s="136"/>
      <c r="AA39" s="135">
        <f t="shared" si="19"/>
        <v>-0.76999999999998181</v>
      </c>
      <c r="AB39" s="137">
        <f t="shared" si="20"/>
        <v>-7.160126464571153E-4</v>
      </c>
    </row>
    <row r="40" spans="1:28" x14ac:dyDescent="0.3">
      <c r="A40" s="1">
        <f t="shared" si="0"/>
        <v>40</v>
      </c>
      <c r="B40" s="31"/>
      <c r="C40" s="105"/>
      <c r="D40" s="105"/>
      <c r="E40" s="135"/>
      <c r="F40" s="135"/>
      <c r="G40" s="139"/>
      <c r="H40" s="140"/>
      <c r="I40" s="135"/>
      <c r="J40" s="135"/>
      <c r="K40" s="135"/>
      <c r="L40" s="44"/>
      <c r="M40" s="139"/>
      <c r="N40" s="139"/>
      <c r="O40" s="139"/>
      <c r="P40" s="135"/>
      <c r="Q40" s="135"/>
      <c r="R40" s="139"/>
      <c r="S40" s="139"/>
      <c r="T40" s="135"/>
      <c r="U40" s="137"/>
      <c r="V40" s="139"/>
      <c r="W40" s="135"/>
      <c r="X40" s="135"/>
      <c r="AA40" s="135"/>
      <c r="AB40" s="137"/>
    </row>
    <row r="41" spans="1:28" x14ac:dyDescent="0.3">
      <c r="A41" s="1">
        <f t="shared" si="0"/>
        <v>41</v>
      </c>
      <c r="B41" s="104"/>
      <c r="C41" s="164" t="s">
        <v>126</v>
      </c>
      <c r="D41" s="104">
        <v>420</v>
      </c>
      <c r="E41" s="135"/>
      <c r="F41" s="135"/>
      <c r="G41" s="132"/>
      <c r="H41" s="44"/>
      <c r="I41" s="135"/>
      <c r="J41" s="135"/>
      <c r="P41" s="135"/>
      <c r="Q41" s="135"/>
      <c r="T41" s="135"/>
      <c r="U41" s="137"/>
      <c r="W41" s="135"/>
      <c r="X41" s="135"/>
      <c r="AA41" s="135"/>
      <c r="AB41" s="137"/>
    </row>
    <row r="42" spans="1:28" x14ac:dyDescent="0.3">
      <c r="A42" s="1">
        <f t="shared" si="0"/>
        <v>42</v>
      </c>
      <c r="B42" s="31"/>
      <c r="C42" s="105">
        <v>1</v>
      </c>
      <c r="D42" s="106">
        <f>C42*$D$41</f>
        <v>420</v>
      </c>
      <c r="E42" s="135">
        <f t="shared" ref="E42:E52" si="39">ROUND($G$89+MIN(10,$C42)*$G$90+MAX(0,$C42-10)*$G$91,2)+ROUND($D42*$G$92,2)</f>
        <v>36.46</v>
      </c>
      <c r="F42" s="135">
        <f t="shared" ref="F42:F52" si="40">ROUND($D42*$G$93,2)</f>
        <v>65.84</v>
      </c>
      <c r="G42" s="135">
        <f t="shared" ref="G42" si="41">SUM(E42:F42)</f>
        <v>102.30000000000001</v>
      </c>
      <c r="H42" s="135"/>
      <c r="I42" s="135">
        <f t="shared" ref="I42:I52" si="42">ROUND($I$89+MIN(10,$C42)*$I$90+MAX(0,$C42-10)*$I$91,2)+ROUND($D42*$I$92,2)</f>
        <v>44.230000000000004</v>
      </c>
      <c r="J42" s="135">
        <f t="shared" ref="J42:J51" si="43">ROUND($D42*$I$93,2)</f>
        <v>65.84</v>
      </c>
      <c r="K42" s="135">
        <f t="shared" ref="K42:K51" si="44">SUM(I42:J42)</f>
        <v>110.07000000000001</v>
      </c>
      <c r="L42" s="136"/>
      <c r="M42" s="135">
        <f t="shared" ref="M42:M51" si="45">+K42-G42</f>
        <v>7.769999999999996</v>
      </c>
      <c r="N42" s="137">
        <f t="shared" ref="N42:N46" si="46">+M42/G42</f>
        <v>7.595307917888558E-2</v>
      </c>
      <c r="O42" s="135"/>
      <c r="P42" s="135">
        <f t="shared" ref="P42:P51" si="47">ROUND($J$89+MIN(10,$C42)*$J$90+MAX(0,$C42-10)*$J$91,2)+ROUND($D42*$J$92,2)</f>
        <v>45.47</v>
      </c>
      <c r="Q42" s="135">
        <f t="shared" ref="Q42:Q52" si="48">ROUND($D42*$J$93,2)</f>
        <v>65.84</v>
      </c>
      <c r="R42" s="135">
        <f t="shared" ref="R42" si="49">SUM(P42:Q42)</f>
        <v>111.31</v>
      </c>
      <c r="S42" s="136"/>
      <c r="T42" s="135">
        <f t="shared" si="16"/>
        <v>1.2399999999999949</v>
      </c>
      <c r="U42" s="137">
        <f t="shared" si="17"/>
        <v>1.1265558281093803E-2</v>
      </c>
      <c r="V42" s="135"/>
      <c r="W42" s="135">
        <f t="shared" si="18"/>
        <v>45.39</v>
      </c>
      <c r="X42" s="135">
        <f t="shared" si="21"/>
        <v>65.84</v>
      </c>
      <c r="Y42" s="135">
        <f t="shared" ref="Y42:Y52" si="50">SUM(W42:X42)</f>
        <v>111.23</v>
      </c>
      <c r="Z42" s="136"/>
      <c r="AA42" s="135">
        <f t="shared" si="19"/>
        <v>-7.9999999999998295E-2</v>
      </c>
      <c r="AB42" s="137">
        <f t="shared" si="20"/>
        <v>-7.1871350282991903E-4</v>
      </c>
    </row>
    <row r="43" spans="1:28" x14ac:dyDescent="0.3">
      <c r="A43" s="1">
        <f t="shared" si="0"/>
        <v>43</v>
      </c>
      <c r="B43" s="31"/>
      <c r="C43" s="105">
        <v>3</v>
      </c>
      <c r="D43" s="106">
        <f t="shared" ref="D43:D52" si="51">C43*$D$41</f>
        <v>1260</v>
      </c>
      <c r="E43" s="135">
        <f t="shared" si="39"/>
        <v>69.38</v>
      </c>
      <c r="F43" s="135">
        <f t="shared" si="40"/>
        <v>197.53</v>
      </c>
      <c r="G43" s="135">
        <f t="shared" ref="G43:G52" si="52">SUM(E43:F43)</f>
        <v>266.90999999999997</v>
      </c>
      <c r="H43" s="136"/>
      <c r="I43" s="135">
        <f t="shared" si="42"/>
        <v>92.7</v>
      </c>
      <c r="J43" s="135">
        <f t="shared" si="43"/>
        <v>197.53</v>
      </c>
      <c r="K43" s="135">
        <f t="shared" si="44"/>
        <v>290.23</v>
      </c>
      <c r="L43" s="136"/>
      <c r="M43" s="135">
        <f t="shared" si="45"/>
        <v>23.32000000000005</v>
      </c>
      <c r="N43" s="137">
        <f t="shared" si="46"/>
        <v>8.7370274624405428E-2</v>
      </c>
      <c r="O43" s="135"/>
      <c r="P43" s="135">
        <f t="shared" si="47"/>
        <v>96.42</v>
      </c>
      <c r="Q43" s="135">
        <f t="shared" si="48"/>
        <v>197.53</v>
      </c>
      <c r="R43" s="135">
        <f t="shared" ref="R43:R52" si="53">SUM(P43:Q43)</f>
        <v>293.95</v>
      </c>
      <c r="S43" s="136"/>
      <c r="T43" s="135">
        <f t="shared" si="16"/>
        <v>3.7199999999999704</v>
      </c>
      <c r="U43" s="137">
        <f t="shared" si="17"/>
        <v>1.281742066636795E-2</v>
      </c>
      <c r="V43" s="135"/>
      <c r="W43" s="135">
        <f t="shared" si="18"/>
        <v>96.17</v>
      </c>
      <c r="X43" s="135">
        <f t="shared" si="21"/>
        <v>197.53</v>
      </c>
      <c r="Y43" s="135">
        <f t="shared" si="50"/>
        <v>293.7</v>
      </c>
      <c r="Z43" s="136"/>
      <c r="AA43" s="135">
        <f t="shared" si="19"/>
        <v>-0.25</v>
      </c>
      <c r="AB43" s="137">
        <f t="shared" si="20"/>
        <v>-8.5048477632250388E-4</v>
      </c>
    </row>
    <row r="44" spans="1:28" x14ac:dyDescent="0.3">
      <c r="A44" s="1">
        <f t="shared" si="0"/>
        <v>44</v>
      </c>
      <c r="B44" s="31"/>
      <c r="C44" s="105">
        <v>5</v>
      </c>
      <c r="D44" s="106">
        <f t="shared" si="51"/>
        <v>2100</v>
      </c>
      <c r="E44" s="135">
        <f t="shared" si="39"/>
        <v>102.3</v>
      </c>
      <c r="F44" s="135">
        <f t="shared" si="40"/>
        <v>329.22</v>
      </c>
      <c r="G44" s="135">
        <f t="shared" si="52"/>
        <v>431.52000000000004</v>
      </c>
      <c r="H44" s="136"/>
      <c r="I44" s="135">
        <f t="shared" si="42"/>
        <v>141.17000000000002</v>
      </c>
      <c r="J44" s="135">
        <f t="shared" si="43"/>
        <v>329.22</v>
      </c>
      <c r="K44" s="135">
        <f t="shared" si="44"/>
        <v>470.39000000000004</v>
      </c>
      <c r="L44" s="136"/>
      <c r="M44" s="135">
        <f t="shared" si="45"/>
        <v>38.870000000000005</v>
      </c>
      <c r="N44" s="137">
        <f t="shared" si="46"/>
        <v>9.0076937337782728E-2</v>
      </c>
      <c r="O44" s="135"/>
      <c r="P44" s="135">
        <f t="shared" si="47"/>
        <v>147.37</v>
      </c>
      <c r="Q44" s="135">
        <f t="shared" si="48"/>
        <v>329.22</v>
      </c>
      <c r="R44" s="135">
        <f t="shared" si="53"/>
        <v>476.59000000000003</v>
      </c>
      <c r="S44" s="136"/>
      <c r="T44" s="135">
        <f t="shared" si="16"/>
        <v>6.1999999999999886</v>
      </c>
      <c r="U44" s="137">
        <f t="shared" si="17"/>
        <v>1.3180552307659577E-2</v>
      </c>
      <c r="V44" s="135"/>
      <c r="W44" s="135">
        <f t="shared" si="18"/>
        <v>146.94999999999999</v>
      </c>
      <c r="X44" s="135">
        <f t="shared" si="21"/>
        <v>329.22</v>
      </c>
      <c r="Y44" s="135">
        <f t="shared" si="50"/>
        <v>476.17</v>
      </c>
      <c r="Z44" s="136"/>
      <c r="AA44" s="135">
        <f t="shared" si="19"/>
        <v>-0.42000000000001592</v>
      </c>
      <c r="AB44" s="137">
        <f t="shared" si="20"/>
        <v>-8.8126062233789186E-4</v>
      </c>
    </row>
    <row r="45" spans="1:28" x14ac:dyDescent="0.3">
      <c r="A45" s="1">
        <f t="shared" si="0"/>
        <v>45</v>
      </c>
      <c r="B45" s="31"/>
      <c r="C45" s="105">
        <v>8</v>
      </c>
      <c r="D45" s="106">
        <f t="shared" si="51"/>
        <v>3360</v>
      </c>
      <c r="E45" s="135">
        <f>ROUND($G$89+MIN(10,$C45)*$G$90+MAX(0,$C45-10)*$G$91,2)+ROUND($D45*$G$92,2)</f>
        <v>151.68</v>
      </c>
      <c r="F45" s="135">
        <f t="shared" si="40"/>
        <v>526.75</v>
      </c>
      <c r="G45" s="135">
        <f t="shared" si="52"/>
        <v>678.43000000000006</v>
      </c>
      <c r="H45" s="136"/>
      <c r="I45" s="135">
        <f t="shared" si="42"/>
        <v>213.87</v>
      </c>
      <c r="J45" s="135">
        <f t="shared" si="43"/>
        <v>526.75</v>
      </c>
      <c r="K45" s="135">
        <f t="shared" si="44"/>
        <v>740.62</v>
      </c>
      <c r="L45" s="136"/>
      <c r="M45" s="135">
        <f t="shared" si="45"/>
        <v>62.189999999999941</v>
      </c>
      <c r="N45" s="137">
        <f t="shared" si="46"/>
        <v>9.166752649499571E-2</v>
      </c>
      <c r="O45" s="135"/>
      <c r="P45" s="135">
        <f t="shared" si="47"/>
        <v>223.78</v>
      </c>
      <c r="Q45" s="135">
        <f t="shared" si="48"/>
        <v>526.75</v>
      </c>
      <c r="R45" s="135">
        <f t="shared" si="53"/>
        <v>750.53</v>
      </c>
      <c r="S45" s="136"/>
      <c r="T45" s="135">
        <f t="shared" si="16"/>
        <v>9.9099999999999682</v>
      </c>
      <c r="U45" s="137">
        <f t="shared" si="17"/>
        <v>1.3380681051011272E-2</v>
      </c>
      <c r="V45" s="135"/>
      <c r="W45" s="135">
        <f>ROUND($K$89+MIN(10,$C45)*$K$90+MAX(0,$C45-10)*$K$91,2)+ROUND($D45*$K$92,2)</f>
        <v>223.11</v>
      </c>
      <c r="X45" s="135">
        <f t="shared" si="21"/>
        <v>526.75</v>
      </c>
      <c r="Y45" s="135">
        <f t="shared" si="50"/>
        <v>749.86</v>
      </c>
      <c r="Z45" s="136"/>
      <c r="AA45" s="135">
        <f t="shared" si="19"/>
        <v>-0.66999999999995907</v>
      </c>
      <c r="AB45" s="137">
        <f t="shared" si="20"/>
        <v>-8.927024902401757E-4</v>
      </c>
    </row>
    <row r="46" spans="1:28" x14ac:dyDescent="0.3">
      <c r="A46" s="1">
        <f t="shared" si="0"/>
        <v>46</v>
      </c>
      <c r="B46" s="31"/>
      <c r="C46" s="105">
        <v>10</v>
      </c>
      <c r="D46" s="106">
        <f t="shared" si="51"/>
        <v>4200</v>
      </c>
      <c r="E46" s="135">
        <f t="shared" si="39"/>
        <v>184.6</v>
      </c>
      <c r="F46" s="135">
        <f t="shared" si="40"/>
        <v>658.43</v>
      </c>
      <c r="G46" s="135">
        <f t="shared" si="52"/>
        <v>843.03</v>
      </c>
      <c r="H46" s="136"/>
      <c r="I46" s="135">
        <f>ROUND($I$89+MIN(10,$C46)*$I$90+MAX(0,$C46-10)*$I$91,2)+ROUND($D46*$I$92,2)</f>
        <v>262.34000000000003</v>
      </c>
      <c r="J46" s="135">
        <f t="shared" si="43"/>
        <v>658.43</v>
      </c>
      <c r="K46" s="135">
        <f t="shared" si="44"/>
        <v>920.77</v>
      </c>
      <c r="L46" s="136"/>
      <c r="M46" s="135">
        <f t="shared" si="45"/>
        <v>77.740000000000009</v>
      </c>
      <c r="N46" s="137">
        <f t="shared" si="46"/>
        <v>9.2214986418039699E-2</v>
      </c>
      <c r="O46" s="135"/>
      <c r="P46" s="135">
        <f t="shared" si="47"/>
        <v>274.73</v>
      </c>
      <c r="Q46" s="135">
        <f t="shared" si="48"/>
        <v>658.43</v>
      </c>
      <c r="R46" s="135">
        <f t="shared" si="53"/>
        <v>933.16</v>
      </c>
      <c r="S46" s="136"/>
      <c r="T46" s="135">
        <f t="shared" si="16"/>
        <v>12.389999999999986</v>
      </c>
      <c r="U46" s="137">
        <f t="shared" si="17"/>
        <v>1.3456129109332393E-2</v>
      </c>
      <c r="V46" s="135"/>
      <c r="W46" s="135">
        <f t="shared" si="18"/>
        <v>273.89</v>
      </c>
      <c r="X46" s="135">
        <f t="shared" si="21"/>
        <v>658.43</v>
      </c>
      <c r="Y46" s="135">
        <f t="shared" si="50"/>
        <v>932.31999999999994</v>
      </c>
      <c r="Z46" s="136"/>
      <c r="AA46" s="135">
        <f t="shared" si="19"/>
        <v>-0.84000000000003183</v>
      </c>
      <c r="AB46" s="137">
        <f t="shared" si="20"/>
        <v>-9.0016717390375913E-4</v>
      </c>
    </row>
    <row r="47" spans="1:28" x14ac:dyDescent="0.3">
      <c r="A47" s="1">
        <f t="shared" si="0"/>
        <v>47</v>
      </c>
      <c r="B47" s="31"/>
      <c r="C47" s="105">
        <v>15</v>
      </c>
      <c r="D47" s="106">
        <f t="shared" si="51"/>
        <v>6300</v>
      </c>
      <c r="E47" s="135">
        <f>ROUND($G$89+MIN(10,$C47)*$G$90+MAX(0,$C47-10)*$G$91,2)+ROUND($D47*$G$92,2)</f>
        <v>450.65</v>
      </c>
      <c r="F47" s="135">
        <f t="shared" si="40"/>
        <v>987.65</v>
      </c>
      <c r="G47" s="135">
        <f t="shared" si="52"/>
        <v>1438.3</v>
      </c>
      <c r="H47" s="136"/>
      <c r="I47" s="135">
        <f>ROUND($I$89+MIN(10,$C47)*$I$90+MAX(0,$C47-10)*$I$91,2)+ROUND($D47*$I$92,2)</f>
        <v>567.26</v>
      </c>
      <c r="J47" s="135">
        <f t="shared" si="43"/>
        <v>987.65</v>
      </c>
      <c r="K47" s="135">
        <f t="shared" si="44"/>
        <v>1554.9099999999999</v>
      </c>
      <c r="L47" s="136"/>
      <c r="M47" s="135">
        <f t="shared" si="45"/>
        <v>116.6099999999999</v>
      </c>
      <c r="N47" s="137">
        <f>+M47/G47</f>
        <v>8.1074880066745403E-2</v>
      </c>
      <c r="O47" s="135"/>
      <c r="P47" s="135">
        <f t="shared" si="47"/>
        <v>585.85</v>
      </c>
      <c r="Q47" s="135">
        <f t="shared" si="48"/>
        <v>987.65</v>
      </c>
      <c r="R47" s="135">
        <f t="shared" si="53"/>
        <v>1573.5</v>
      </c>
      <c r="S47" s="136"/>
      <c r="T47" s="135">
        <f t="shared" si="16"/>
        <v>18.590000000000146</v>
      </c>
      <c r="U47" s="137">
        <f t="shared" si="17"/>
        <v>1.1955675891209232E-2</v>
      </c>
      <c r="V47" s="135"/>
      <c r="W47" s="135">
        <f t="shared" si="18"/>
        <v>584.58999999999992</v>
      </c>
      <c r="X47" s="135">
        <f>ROUND($D47*$K$93,2)</f>
        <v>987.65</v>
      </c>
      <c r="Y47" s="135">
        <f t="shared" si="50"/>
        <v>1572.2399999999998</v>
      </c>
      <c r="Z47" s="136"/>
      <c r="AA47" s="135">
        <f t="shared" si="19"/>
        <v>-1.2600000000002183</v>
      </c>
      <c r="AB47" s="137">
        <f t="shared" si="20"/>
        <v>-8.0076263107735509E-4</v>
      </c>
    </row>
    <row r="48" spans="1:28" x14ac:dyDescent="0.3">
      <c r="A48" s="1">
        <f t="shared" si="0"/>
        <v>48</v>
      </c>
      <c r="B48" s="31"/>
      <c r="C48" s="105">
        <v>20</v>
      </c>
      <c r="D48" s="106">
        <f t="shared" si="51"/>
        <v>8400</v>
      </c>
      <c r="E48" s="135">
        <f t="shared" si="39"/>
        <v>716.7</v>
      </c>
      <c r="F48" s="135">
        <f t="shared" si="40"/>
        <v>1316.87</v>
      </c>
      <c r="G48" s="135">
        <f t="shared" si="52"/>
        <v>2033.57</v>
      </c>
      <c r="H48" s="136"/>
      <c r="I48" s="135">
        <f t="shared" si="42"/>
        <v>872.18000000000006</v>
      </c>
      <c r="J48" s="135">
        <f>ROUND($D48*$I$93,2)</f>
        <v>1316.87</v>
      </c>
      <c r="K48" s="135">
        <f t="shared" si="44"/>
        <v>2189.0500000000002</v>
      </c>
      <c r="L48" s="136"/>
      <c r="M48" s="135">
        <f t="shared" si="45"/>
        <v>155.48000000000025</v>
      </c>
      <c r="N48" s="137">
        <f t="shared" ref="N48:N52" si="54">+M48/G48</f>
        <v>7.6456674714910355E-2</v>
      </c>
      <c r="O48" s="135"/>
      <c r="P48" s="135">
        <f>ROUND($J$89+MIN(10,$C48)*$J$90+MAX(0,$C48-10)*$J$91,2)+ROUND($D48*$J$92,2)</f>
        <v>896.96</v>
      </c>
      <c r="Q48" s="135">
        <f t="shared" si="48"/>
        <v>1316.87</v>
      </c>
      <c r="R48" s="135">
        <f t="shared" si="53"/>
        <v>2213.83</v>
      </c>
      <c r="S48" s="136"/>
      <c r="T48" s="135">
        <f t="shared" si="16"/>
        <v>24.779999999999745</v>
      </c>
      <c r="U48" s="137">
        <f t="shared" si="17"/>
        <v>1.1319978986318148E-2</v>
      </c>
      <c r="V48" s="135"/>
      <c r="W48" s="135">
        <f t="shared" si="18"/>
        <v>895.28</v>
      </c>
      <c r="X48" s="135">
        <f t="shared" si="21"/>
        <v>1316.87</v>
      </c>
      <c r="Y48" s="135">
        <f t="shared" si="50"/>
        <v>2212.1499999999996</v>
      </c>
      <c r="Z48" s="136"/>
      <c r="AA48" s="135">
        <f t="shared" si="19"/>
        <v>-1.680000000000291</v>
      </c>
      <c r="AB48" s="137">
        <f t="shared" si="20"/>
        <v>-7.5886585690874693E-4</v>
      </c>
    </row>
    <row r="49" spans="1:28" x14ac:dyDescent="0.3">
      <c r="A49" s="1">
        <f t="shared" si="0"/>
        <v>49</v>
      </c>
      <c r="B49" s="31"/>
      <c r="C49" s="105">
        <v>25</v>
      </c>
      <c r="D49" s="106">
        <f t="shared" si="51"/>
        <v>10500</v>
      </c>
      <c r="E49" s="135">
        <f t="shared" si="39"/>
        <v>982.75</v>
      </c>
      <c r="F49" s="135">
        <f>ROUND($D49*$G$93,2)</f>
        <v>1646.09</v>
      </c>
      <c r="G49" s="135">
        <f t="shared" si="52"/>
        <v>2628.84</v>
      </c>
      <c r="H49" s="136"/>
      <c r="I49" s="135">
        <f t="shared" si="42"/>
        <v>1177.0999999999999</v>
      </c>
      <c r="J49" s="135">
        <f t="shared" si="43"/>
        <v>1646.09</v>
      </c>
      <c r="K49" s="135">
        <f t="shared" si="44"/>
        <v>2823.1899999999996</v>
      </c>
      <c r="L49" s="136"/>
      <c r="M49" s="135">
        <f t="shared" si="45"/>
        <v>194.34999999999945</v>
      </c>
      <c r="N49" s="137">
        <f t="shared" si="54"/>
        <v>7.3929946288096446E-2</v>
      </c>
      <c r="O49" s="135"/>
      <c r="P49" s="135">
        <f t="shared" si="47"/>
        <v>1208.08</v>
      </c>
      <c r="Q49" s="135">
        <f t="shared" si="48"/>
        <v>1646.09</v>
      </c>
      <c r="R49" s="135">
        <f t="shared" si="53"/>
        <v>2854.17</v>
      </c>
      <c r="S49" s="136"/>
      <c r="T49" s="135">
        <f t="shared" si="16"/>
        <v>30.980000000000473</v>
      </c>
      <c r="U49" s="137">
        <f t="shared" si="17"/>
        <v>1.0973402427750339E-2</v>
      </c>
      <c r="V49" s="135"/>
      <c r="W49" s="135">
        <f t="shared" si="18"/>
        <v>1205.98</v>
      </c>
      <c r="X49" s="135">
        <f t="shared" si="21"/>
        <v>1646.09</v>
      </c>
      <c r="Y49" s="135">
        <f t="shared" si="50"/>
        <v>2852.0699999999997</v>
      </c>
      <c r="Z49" s="136"/>
      <c r="AA49" s="135">
        <f t="shared" si="19"/>
        <v>-2.1000000000003638</v>
      </c>
      <c r="AB49" s="137">
        <f t="shared" si="20"/>
        <v>-7.3576556406954171E-4</v>
      </c>
    </row>
    <row r="50" spans="1:28" x14ac:dyDescent="0.3">
      <c r="A50" s="1">
        <f t="shared" si="0"/>
        <v>50</v>
      </c>
      <c r="B50" s="31"/>
      <c r="C50" s="106">
        <v>40</v>
      </c>
      <c r="D50" s="106">
        <f t="shared" si="51"/>
        <v>16800</v>
      </c>
      <c r="E50" s="135">
        <f t="shared" si="39"/>
        <v>1780.8899999999999</v>
      </c>
      <c r="F50" s="135">
        <f>ROUND($D50*$G$93,2)</f>
        <v>2633.74</v>
      </c>
      <c r="G50" s="135">
        <f t="shared" si="52"/>
        <v>4414.6299999999992</v>
      </c>
      <c r="H50" s="136"/>
      <c r="I50" s="135">
        <f t="shared" si="42"/>
        <v>2091.86</v>
      </c>
      <c r="J50" s="135">
        <f t="shared" si="43"/>
        <v>2633.74</v>
      </c>
      <c r="K50" s="135">
        <f t="shared" si="44"/>
        <v>4725.6000000000004</v>
      </c>
      <c r="L50" s="136"/>
      <c r="M50" s="135">
        <f>+K50-G50</f>
        <v>310.97000000000116</v>
      </c>
      <c r="N50" s="137">
        <f t="shared" si="54"/>
        <v>7.0440784391897215E-2</v>
      </c>
      <c r="O50" s="135"/>
      <c r="P50" s="135">
        <f t="shared" si="47"/>
        <v>2141.42</v>
      </c>
      <c r="Q50" s="135">
        <f t="shared" si="48"/>
        <v>2633.74</v>
      </c>
      <c r="R50" s="135">
        <f t="shared" si="53"/>
        <v>4775.16</v>
      </c>
      <c r="S50" s="136"/>
      <c r="T50" s="135">
        <f t="shared" si="16"/>
        <v>49.559999999999491</v>
      </c>
      <c r="U50" s="137">
        <f t="shared" si="17"/>
        <v>1.0487557135601721E-2</v>
      </c>
      <c r="V50" s="135"/>
      <c r="W50" s="135">
        <f t="shared" si="18"/>
        <v>2138.06</v>
      </c>
      <c r="X50" s="135">
        <f t="shared" si="21"/>
        <v>2633.74</v>
      </c>
      <c r="Y50" s="135">
        <f t="shared" si="50"/>
        <v>4771.7999999999993</v>
      </c>
      <c r="Z50" s="136"/>
      <c r="AA50" s="135">
        <f t="shared" si="19"/>
        <v>-3.3600000000005821</v>
      </c>
      <c r="AB50" s="137">
        <f t="shared" si="20"/>
        <v>-7.0364134395508888E-4</v>
      </c>
    </row>
    <row r="51" spans="1:28" x14ac:dyDescent="0.3">
      <c r="A51" s="1">
        <f t="shared" si="0"/>
        <v>51</v>
      </c>
      <c r="B51" s="31"/>
      <c r="C51" s="106">
        <v>75</v>
      </c>
      <c r="D51" s="106">
        <f t="shared" si="51"/>
        <v>31500</v>
      </c>
      <c r="E51" s="135">
        <f>ROUND($G$89+MIN(10,$C51)*$G$90+MAX(0,$C51-10)*$G$91,2)+ROUND($D51*$G$92,2)</f>
        <v>3643.24</v>
      </c>
      <c r="F51" s="135">
        <f t="shared" si="40"/>
        <v>4938.26</v>
      </c>
      <c r="G51" s="135">
        <f t="shared" si="52"/>
        <v>8581.5</v>
      </c>
      <c r="H51" s="136"/>
      <c r="I51" s="135">
        <f>ROUND($I$89+MIN(10,$C51)*$I$90+MAX(0,$C51-10)*$I$91,2)+ROUND($D51*$I$92,2)</f>
        <v>4226.3</v>
      </c>
      <c r="J51" s="135">
        <f t="shared" si="43"/>
        <v>4938.26</v>
      </c>
      <c r="K51" s="135">
        <f t="shared" si="44"/>
        <v>9164.5600000000013</v>
      </c>
      <c r="L51" s="136"/>
      <c r="M51" s="135">
        <f t="shared" si="45"/>
        <v>583.06000000000131</v>
      </c>
      <c r="N51" s="137">
        <f t="shared" si="54"/>
        <v>6.7943832663287462E-2</v>
      </c>
      <c r="O51" s="135"/>
      <c r="P51" s="135">
        <f t="shared" si="47"/>
        <v>4319.2299999999996</v>
      </c>
      <c r="Q51" s="135">
        <f t="shared" si="48"/>
        <v>4938.26</v>
      </c>
      <c r="R51" s="135">
        <f t="shared" si="53"/>
        <v>9257.49</v>
      </c>
      <c r="S51" s="136"/>
      <c r="T51" s="135">
        <f t="shared" si="16"/>
        <v>92.929999999998472</v>
      </c>
      <c r="U51" s="137">
        <f t="shared" si="17"/>
        <v>1.0140148572326271E-2</v>
      </c>
      <c r="V51" s="135"/>
      <c r="W51" s="135">
        <f t="shared" si="18"/>
        <v>4312.93</v>
      </c>
      <c r="X51" s="135">
        <f t="shared" si="21"/>
        <v>4938.26</v>
      </c>
      <c r="Y51" s="135">
        <f t="shared" si="50"/>
        <v>9251.19</v>
      </c>
      <c r="Z51" s="136"/>
      <c r="AA51" s="135">
        <f t="shared" si="19"/>
        <v>-6.2999999999992724</v>
      </c>
      <c r="AB51" s="137">
        <f t="shared" si="20"/>
        <v>-6.8053003567913905E-4</v>
      </c>
    </row>
    <row r="52" spans="1:28" x14ac:dyDescent="0.3">
      <c r="A52" s="1">
        <f t="shared" si="0"/>
        <v>52</v>
      </c>
      <c r="B52" s="31" t="s">
        <v>52</v>
      </c>
      <c r="C52" s="106">
        <v>20</v>
      </c>
      <c r="D52" s="106">
        <f t="shared" si="51"/>
        <v>8400</v>
      </c>
      <c r="E52" s="135">
        <f t="shared" si="39"/>
        <v>716.7</v>
      </c>
      <c r="F52" s="135">
        <f t="shared" si="40"/>
        <v>1316.87</v>
      </c>
      <c r="G52" s="135">
        <f t="shared" si="52"/>
        <v>2033.57</v>
      </c>
      <c r="H52" s="136"/>
      <c r="I52" s="135">
        <f t="shared" si="42"/>
        <v>872.18000000000006</v>
      </c>
      <c r="J52" s="135">
        <f>ROUND($D52*$I$93,2)</f>
        <v>1316.87</v>
      </c>
      <c r="K52" s="135">
        <f>SUM(I52:J52)</f>
        <v>2189.0500000000002</v>
      </c>
      <c r="L52" s="136"/>
      <c r="M52" s="135">
        <f>+K52-G52</f>
        <v>155.48000000000025</v>
      </c>
      <c r="N52" s="137">
        <f t="shared" si="54"/>
        <v>7.6456674714910355E-2</v>
      </c>
      <c r="O52" s="135"/>
      <c r="P52" s="135">
        <f>ROUND($J$89+MIN(10,$C52)*$J$90+MAX(0,$C52-10)*$J$91,2)+ROUND($D52*$J$92,2)</f>
        <v>896.96</v>
      </c>
      <c r="Q52" s="135">
        <f t="shared" si="48"/>
        <v>1316.87</v>
      </c>
      <c r="R52" s="135">
        <f t="shared" si="53"/>
        <v>2213.83</v>
      </c>
      <c r="S52" s="136"/>
      <c r="T52" s="135">
        <f t="shared" si="16"/>
        <v>24.779999999999745</v>
      </c>
      <c r="U52" s="137">
        <f t="shared" si="17"/>
        <v>1.1319978986318148E-2</v>
      </c>
      <c r="V52" s="135"/>
      <c r="W52" s="135">
        <f t="shared" si="18"/>
        <v>895.28</v>
      </c>
      <c r="X52" s="135">
        <f t="shared" si="21"/>
        <v>1316.87</v>
      </c>
      <c r="Y52" s="135">
        <f t="shared" si="50"/>
        <v>2212.1499999999996</v>
      </c>
      <c r="Z52" s="136"/>
      <c r="AA52" s="135">
        <f t="shared" si="19"/>
        <v>-1.680000000000291</v>
      </c>
      <c r="AB52" s="137">
        <f t="shared" si="20"/>
        <v>-7.5886585690874693E-4</v>
      </c>
    </row>
    <row r="53" spans="1:28" x14ac:dyDescent="0.3">
      <c r="A53" s="1">
        <f t="shared" si="0"/>
        <v>53</v>
      </c>
      <c r="B53" s="31"/>
      <c r="C53" s="106"/>
      <c r="D53" s="106"/>
      <c r="E53" s="135"/>
      <c r="F53" s="135"/>
      <c r="G53" s="135"/>
      <c r="H53" s="136"/>
      <c r="I53" s="135"/>
      <c r="J53" s="135"/>
      <c r="K53" s="135"/>
      <c r="L53" s="136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7"/>
    </row>
    <row r="54" spans="1:28" x14ac:dyDescent="0.3">
      <c r="A54" s="1">
        <f t="shared" si="0"/>
        <v>54</v>
      </c>
      <c r="B54" s="31"/>
      <c r="C54" s="44"/>
      <c r="D54" s="44"/>
      <c r="E54" s="44"/>
      <c r="F54" s="44"/>
      <c r="G54" s="141"/>
      <c r="H54" s="44"/>
    </row>
    <row r="55" spans="1:28" x14ac:dyDescent="0.3">
      <c r="A55" s="1">
        <f t="shared" si="0"/>
        <v>55</v>
      </c>
      <c r="B55" s="31"/>
      <c r="C55" s="44"/>
      <c r="D55" s="44"/>
      <c r="G55" s="45">
        <f>'EMA R1'!H28</f>
        <v>2024</v>
      </c>
      <c r="I55" s="45">
        <f>'EMA R1'!I28</f>
        <v>2025</v>
      </c>
      <c r="J55" s="45">
        <f>'EMA R1'!J28</f>
        <v>2026</v>
      </c>
      <c r="K55" s="45">
        <f>'EMA R1'!L28</f>
        <v>2027</v>
      </c>
      <c r="M55" s="45" t="str">
        <f>'EMA R1'!M28</f>
        <v>2025 v 2024</v>
      </c>
      <c r="N55" s="45" t="str">
        <f>'EMA R1'!O28</f>
        <v>2026 v 2025</v>
      </c>
      <c r="P55" s="45" t="str">
        <f>'EMA R1'!P28</f>
        <v>2027 v 2026</v>
      </c>
    </row>
    <row r="56" spans="1:28" x14ac:dyDescent="0.3">
      <c r="A56" s="1">
        <f t="shared" si="0"/>
        <v>56</v>
      </c>
      <c r="B56" s="31"/>
      <c r="G56" s="47" t="str">
        <f>+'BOS G1ND'!H27</f>
        <v>Rates</v>
      </c>
      <c r="H56" s="44"/>
      <c r="I56" s="47" t="s">
        <v>57</v>
      </c>
      <c r="J56" s="47" t="s">
        <v>57</v>
      </c>
      <c r="K56" s="47" t="s">
        <v>57</v>
      </c>
      <c r="L56" s="37"/>
      <c r="M56" s="48" t="s">
        <v>51</v>
      </c>
      <c r="N56" s="48" t="s">
        <v>51</v>
      </c>
      <c r="O56" s="22"/>
      <c r="P56" s="48" t="s">
        <v>51</v>
      </c>
      <c r="W56" s="23"/>
    </row>
    <row r="57" spans="1:28" x14ac:dyDescent="0.3">
      <c r="A57" s="1">
        <f t="shared" si="0"/>
        <v>57</v>
      </c>
      <c r="B57" s="31"/>
      <c r="C57" s="44" t="s">
        <v>58</v>
      </c>
      <c r="D57" s="44"/>
      <c r="G57" s="88">
        <v>20</v>
      </c>
      <c r="H57" s="142"/>
      <c r="I57" s="88">
        <f t="shared" ref="I57:I87" si="55">+G57</f>
        <v>20</v>
      </c>
      <c r="J57" s="88">
        <f t="shared" ref="J57:J87" si="56">G57</f>
        <v>20</v>
      </c>
      <c r="K57" s="88">
        <f t="shared" ref="K57:K87" si="57">J57</f>
        <v>20</v>
      </c>
      <c r="L57" s="37"/>
      <c r="M57" s="50">
        <f t="shared" ref="M57:M87" si="58">+I57-G57</f>
        <v>0</v>
      </c>
      <c r="N57" s="50">
        <f t="shared" ref="N57:N87" si="59">+J57-I57</f>
        <v>0</v>
      </c>
      <c r="O57" s="50"/>
      <c r="P57" s="50">
        <f t="shared" ref="P57:P87" si="60">+K57-J57</f>
        <v>0</v>
      </c>
      <c r="Q57" s="51" t="s">
        <v>59</v>
      </c>
      <c r="W57" s="23"/>
    </row>
    <row r="58" spans="1:28" x14ac:dyDescent="0.3">
      <c r="A58" s="1">
        <f t="shared" si="0"/>
        <v>58</v>
      </c>
      <c r="B58" s="31"/>
      <c r="C58" s="44" t="s">
        <v>139</v>
      </c>
      <c r="D58" s="44"/>
      <c r="G58" s="88">
        <v>0</v>
      </c>
      <c r="H58" s="142"/>
      <c r="I58" s="88">
        <f t="shared" si="55"/>
        <v>0</v>
      </c>
      <c r="J58" s="88">
        <f t="shared" si="56"/>
        <v>0</v>
      </c>
      <c r="K58" s="88">
        <f t="shared" si="57"/>
        <v>0</v>
      </c>
      <c r="L58" s="37"/>
      <c r="M58" s="50">
        <f t="shared" si="58"/>
        <v>0</v>
      </c>
      <c r="N58" s="50">
        <f t="shared" si="59"/>
        <v>0</v>
      </c>
      <c r="O58" s="50"/>
      <c r="P58" s="50">
        <f t="shared" si="60"/>
        <v>0</v>
      </c>
      <c r="Q58" s="51" t="s">
        <v>59</v>
      </c>
      <c r="W58" s="23"/>
    </row>
    <row r="59" spans="1:28" x14ac:dyDescent="0.3">
      <c r="A59" s="1">
        <f t="shared" si="0"/>
        <v>59</v>
      </c>
      <c r="B59" s="31"/>
      <c r="C59" s="44" t="s">
        <v>140</v>
      </c>
      <c r="D59" s="44"/>
      <c r="G59" s="88">
        <v>20.239999999999998</v>
      </c>
      <c r="H59" s="142"/>
      <c r="I59" s="88">
        <f t="shared" si="55"/>
        <v>20.239999999999998</v>
      </c>
      <c r="J59" s="88">
        <f t="shared" si="56"/>
        <v>20.239999999999998</v>
      </c>
      <c r="K59" s="88">
        <f t="shared" si="57"/>
        <v>20.239999999999998</v>
      </c>
      <c r="L59" s="37"/>
      <c r="M59" s="50">
        <f t="shared" si="58"/>
        <v>0</v>
      </c>
      <c r="N59" s="50">
        <f t="shared" si="59"/>
        <v>0</v>
      </c>
      <c r="O59" s="50"/>
      <c r="P59" s="50">
        <f t="shared" si="60"/>
        <v>0</v>
      </c>
      <c r="Q59" s="51" t="s">
        <v>59</v>
      </c>
      <c r="W59" s="23"/>
    </row>
    <row r="60" spans="1:28" x14ac:dyDescent="0.3">
      <c r="A60" s="1">
        <f t="shared" si="0"/>
        <v>60</v>
      </c>
      <c r="B60" s="31"/>
      <c r="C60" s="44" t="s">
        <v>60</v>
      </c>
      <c r="D60" s="44"/>
      <c r="G60" s="91">
        <v>1.2290000000000001E-2</v>
      </c>
      <c r="H60" s="92"/>
      <c r="I60" s="91">
        <f t="shared" si="55"/>
        <v>1.2290000000000001E-2</v>
      </c>
      <c r="J60" s="91">
        <f t="shared" si="56"/>
        <v>1.2290000000000001E-2</v>
      </c>
      <c r="K60" s="91">
        <f t="shared" si="57"/>
        <v>1.2290000000000001E-2</v>
      </c>
      <c r="L60" s="37"/>
      <c r="M60" s="54">
        <f t="shared" si="58"/>
        <v>0</v>
      </c>
      <c r="N60" s="54">
        <f t="shared" si="59"/>
        <v>0</v>
      </c>
      <c r="O60" s="54"/>
      <c r="P60" s="54">
        <f t="shared" si="60"/>
        <v>0</v>
      </c>
      <c r="Q60" s="51" t="s">
        <v>59</v>
      </c>
      <c r="W60" s="23"/>
    </row>
    <row r="61" spans="1:28" x14ac:dyDescent="0.3">
      <c r="A61" s="1">
        <f t="shared" si="0"/>
        <v>61</v>
      </c>
      <c r="B61" s="31"/>
      <c r="C61" s="44" t="str">
        <f>+'BOS G1ND'!C30</f>
        <v>Exogenous Cost Adjustment</v>
      </c>
      <c r="D61" s="44"/>
      <c r="G61" s="91">
        <v>7.5000000000000002E-4</v>
      </c>
      <c r="H61" s="92"/>
      <c r="I61" s="91">
        <f t="shared" si="55"/>
        <v>7.5000000000000002E-4</v>
      </c>
      <c r="J61" s="91">
        <f t="shared" si="56"/>
        <v>7.5000000000000002E-4</v>
      </c>
      <c r="K61" s="91">
        <f t="shared" si="57"/>
        <v>7.5000000000000002E-4</v>
      </c>
      <c r="L61" s="37"/>
      <c r="M61" s="54">
        <f t="shared" si="58"/>
        <v>0</v>
      </c>
      <c r="N61" s="54">
        <f t="shared" si="59"/>
        <v>0</v>
      </c>
      <c r="O61" s="54"/>
      <c r="P61" s="54">
        <f t="shared" si="60"/>
        <v>0</v>
      </c>
      <c r="Q61" s="51" t="str">
        <f>+'BOS G1ND'!Q30</f>
        <v>ECA</v>
      </c>
      <c r="W61" s="23"/>
    </row>
    <row r="62" spans="1:28" x14ac:dyDescent="0.3">
      <c r="A62" s="1">
        <f t="shared" si="0"/>
        <v>62</v>
      </c>
      <c r="B62" s="31"/>
      <c r="C62" s="44" t="str">
        <f>+'BOS G1ND'!C31</f>
        <v>Revenue Decoupling</v>
      </c>
      <c r="D62" s="44"/>
      <c r="G62" s="91">
        <v>4.0000000000000003E-5</v>
      </c>
      <c r="H62" s="92"/>
      <c r="I62" s="91">
        <f t="shared" si="55"/>
        <v>4.0000000000000003E-5</v>
      </c>
      <c r="J62" s="91">
        <f t="shared" si="56"/>
        <v>4.0000000000000003E-5</v>
      </c>
      <c r="K62" s="91">
        <f t="shared" si="57"/>
        <v>4.0000000000000003E-5</v>
      </c>
      <c r="L62" s="37"/>
      <c r="M62" s="54">
        <f t="shared" si="58"/>
        <v>0</v>
      </c>
      <c r="N62" s="54">
        <f t="shared" si="59"/>
        <v>0</v>
      </c>
      <c r="O62" s="54"/>
      <c r="P62" s="54">
        <f t="shared" si="60"/>
        <v>0</v>
      </c>
      <c r="Q62" s="51" t="str">
        <f>+'BOS G1ND'!Q31</f>
        <v>RDAF</v>
      </c>
      <c r="W62" s="23"/>
    </row>
    <row r="63" spans="1:28" x14ac:dyDescent="0.3">
      <c r="A63" s="1">
        <f t="shared" si="0"/>
        <v>63</v>
      </c>
      <c r="B63" s="31"/>
      <c r="C63" s="44" t="str">
        <f>+'BOS G1ND'!C32</f>
        <v>Distributed Solar Charge</v>
      </c>
      <c r="D63" s="44"/>
      <c r="E63" s="37"/>
      <c r="F63" s="37"/>
      <c r="G63" s="91">
        <v>5.8999999999999999E-3</v>
      </c>
      <c r="H63" s="92"/>
      <c r="I63" s="91">
        <f t="shared" si="55"/>
        <v>5.8999999999999999E-3</v>
      </c>
      <c r="J63" s="91">
        <f t="shared" si="56"/>
        <v>5.8999999999999999E-3</v>
      </c>
      <c r="K63" s="91">
        <f t="shared" si="57"/>
        <v>5.8999999999999999E-3</v>
      </c>
      <c r="L63" s="37"/>
      <c r="M63" s="54">
        <f t="shared" si="58"/>
        <v>0</v>
      </c>
      <c r="N63" s="54">
        <f t="shared" si="59"/>
        <v>0</v>
      </c>
      <c r="O63" s="54"/>
      <c r="P63" s="54">
        <f t="shared" si="60"/>
        <v>0</v>
      </c>
      <c r="Q63" s="51" t="str">
        <f>+'BOS G1ND'!Q32</f>
        <v>SMART</v>
      </c>
      <c r="R63" s="37"/>
      <c r="S63" s="37"/>
      <c r="T63" s="37"/>
      <c r="U63" s="37"/>
      <c r="V63" s="37"/>
    </row>
    <row r="64" spans="1:28" x14ac:dyDescent="0.3">
      <c r="A64" s="1">
        <f t="shared" si="0"/>
        <v>64</v>
      </c>
      <c r="B64" s="31"/>
      <c r="C64" s="44" t="str">
        <f>+'BOS G1ND'!C33</f>
        <v>Residential Assistance Adjustment Factor</v>
      </c>
      <c r="D64" s="44"/>
      <c r="G64" s="53">
        <v>6.0200000000000002E-3</v>
      </c>
      <c r="H64" s="92"/>
      <c r="I64" s="53">
        <f t="shared" si="55"/>
        <v>6.0200000000000002E-3</v>
      </c>
      <c r="J64" s="53">
        <f t="shared" si="56"/>
        <v>6.0200000000000002E-3</v>
      </c>
      <c r="K64" s="53">
        <f t="shared" si="57"/>
        <v>6.0200000000000002E-3</v>
      </c>
      <c r="L64" s="37"/>
      <c r="M64" s="54">
        <f t="shared" si="58"/>
        <v>0</v>
      </c>
      <c r="N64" s="54">
        <f t="shared" si="59"/>
        <v>0</v>
      </c>
      <c r="O64" s="54"/>
      <c r="P64" s="54">
        <f t="shared" si="60"/>
        <v>0</v>
      </c>
      <c r="Q64" s="51" t="str">
        <f>+'BOS G1ND'!Q33</f>
        <v>RAAF</v>
      </c>
      <c r="W64" s="23"/>
    </row>
    <row r="65" spans="1:23" x14ac:dyDescent="0.3">
      <c r="A65" s="1">
        <f t="shared" si="0"/>
        <v>65</v>
      </c>
      <c r="B65" s="31"/>
      <c r="C65" s="44" t="str">
        <f>+'BOS G1ND'!C34</f>
        <v>Pension Adjustment Factor</v>
      </c>
      <c r="D65" s="44"/>
      <c r="G65" s="53">
        <v>5.8E-4</v>
      </c>
      <c r="H65" s="92"/>
      <c r="I65" s="53">
        <f t="shared" si="55"/>
        <v>5.8E-4</v>
      </c>
      <c r="J65" s="53">
        <f t="shared" si="56"/>
        <v>5.8E-4</v>
      </c>
      <c r="K65" s="53">
        <f t="shared" si="57"/>
        <v>5.8E-4</v>
      </c>
      <c r="L65" s="37"/>
      <c r="M65" s="54">
        <f t="shared" si="58"/>
        <v>0</v>
      </c>
      <c r="N65" s="54">
        <f t="shared" si="59"/>
        <v>0</v>
      </c>
      <c r="O65" s="54"/>
      <c r="P65" s="54">
        <f t="shared" si="60"/>
        <v>0</v>
      </c>
      <c r="Q65" s="51" t="str">
        <f>+'BOS G1ND'!Q34</f>
        <v>PAF</v>
      </c>
      <c r="W65" s="23"/>
    </row>
    <row r="66" spans="1:23" x14ac:dyDescent="0.3">
      <c r="A66" s="1">
        <f t="shared" si="0"/>
        <v>66</v>
      </c>
      <c r="B66" s="31"/>
      <c r="C66" s="44" t="str">
        <f>+'BOS G1ND'!C35</f>
        <v>Net Metering Recovery Surcharge</v>
      </c>
      <c r="D66" s="44"/>
      <c r="G66" s="91">
        <v>1.197E-2</v>
      </c>
      <c r="H66" s="92"/>
      <c r="I66" s="91">
        <f t="shared" si="55"/>
        <v>1.197E-2</v>
      </c>
      <c r="J66" s="91">
        <f t="shared" si="56"/>
        <v>1.197E-2</v>
      </c>
      <c r="K66" s="91">
        <f t="shared" si="57"/>
        <v>1.197E-2</v>
      </c>
      <c r="L66" s="37"/>
      <c r="M66" s="54">
        <f t="shared" si="58"/>
        <v>0</v>
      </c>
      <c r="N66" s="54">
        <f t="shared" si="59"/>
        <v>0</v>
      </c>
      <c r="O66" s="54"/>
      <c r="P66" s="54">
        <f t="shared" si="60"/>
        <v>0</v>
      </c>
      <c r="Q66" s="51" t="str">
        <f>+'BOS G1ND'!Q35</f>
        <v>NMRS</v>
      </c>
      <c r="W66" s="23"/>
    </row>
    <row r="67" spans="1:23" x14ac:dyDescent="0.3">
      <c r="A67" s="1">
        <f t="shared" ref="A67:A87" si="61">A66+1</f>
        <v>67</v>
      </c>
      <c r="B67" s="31"/>
      <c r="C67" s="44" t="str">
        <f>+'BOS G1ND'!C36</f>
        <v>Long Term Renewable Contract Adjustment</v>
      </c>
      <c r="D67" s="44"/>
      <c r="G67" s="53">
        <v>-1.9300000000000001E-3</v>
      </c>
      <c r="H67" s="92"/>
      <c r="I67" s="53">
        <f t="shared" si="55"/>
        <v>-1.9300000000000001E-3</v>
      </c>
      <c r="J67" s="53">
        <f t="shared" si="56"/>
        <v>-1.9300000000000001E-3</v>
      </c>
      <c r="K67" s="53">
        <f t="shared" si="57"/>
        <v>-1.9300000000000001E-3</v>
      </c>
      <c r="L67" s="37"/>
      <c r="M67" s="54">
        <f t="shared" si="58"/>
        <v>0</v>
      </c>
      <c r="N67" s="54">
        <f t="shared" si="59"/>
        <v>0</v>
      </c>
      <c r="O67" s="54"/>
      <c r="P67" s="54">
        <f t="shared" si="60"/>
        <v>0</v>
      </c>
      <c r="Q67" s="51" t="str">
        <f>+'BOS G1ND'!Q36</f>
        <v>LTRCA</v>
      </c>
      <c r="W67" s="23"/>
    </row>
    <row r="68" spans="1:23" x14ac:dyDescent="0.3">
      <c r="A68" s="1">
        <f t="shared" si="61"/>
        <v>68</v>
      </c>
      <c r="B68" s="31"/>
      <c r="C68" s="44" t="str">
        <f>+'BOS G1ND'!C37</f>
        <v>AG Consulting Expense</v>
      </c>
      <c r="D68" s="44"/>
      <c r="G68" s="53">
        <v>4.0000000000000003E-5</v>
      </c>
      <c r="H68" s="92"/>
      <c r="I68" s="53">
        <f t="shared" si="55"/>
        <v>4.0000000000000003E-5</v>
      </c>
      <c r="J68" s="53">
        <f t="shared" si="56"/>
        <v>4.0000000000000003E-5</v>
      </c>
      <c r="K68" s="53">
        <f t="shared" si="57"/>
        <v>4.0000000000000003E-5</v>
      </c>
      <c r="L68" s="37"/>
      <c r="M68" s="54">
        <f t="shared" si="58"/>
        <v>0</v>
      </c>
      <c r="N68" s="54">
        <f t="shared" si="59"/>
        <v>0</v>
      </c>
      <c r="O68" s="54"/>
      <c r="P68" s="54">
        <f t="shared" si="60"/>
        <v>0</v>
      </c>
      <c r="Q68" s="51" t="str">
        <f>+'BOS G1ND'!Q37</f>
        <v>AGCE</v>
      </c>
      <c r="W68" s="23"/>
    </row>
    <row r="69" spans="1:23" x14ac:dyDescent="0.3">
      <c r="A69" s="1">
        <f t="shared" si="61"/>
        <v>69</v>
      </c>
      <c r="B69" s="31"/>
      <c r="C69" s="44" t="str">
        <f>+'BOS G1ND'!C38</f>
        <v>Storm Cost Recovery Adjustment Factor</v>
      </c>
      <c r="D69" s="44"/>
      <c r="G69" s="53">
        <v>4.8900000000000002E-3</v>
      </c>
      <c r="H69" s="92"/>
      <c r="I69" s="53">
        <f t="shared" si="55"/>
        <v>4.8900000000000002E-3</v>
      </c>
      <c r="J69" s="53">
        <f t="shared" si="56"/>
        <v>4.8900000000000002E-3</v>
      </c>
      <c r="K69" s="53">
        <f t="shared" si="57"/>
        <v>4.8900000000000002E-3</v>
      </c>
      <c r="L69" s="37"/>
      <c r="M69" s="54">
        <f t="shared" si="58"/>
        <v>0</v>
      </c>
      <c r="N69" s="54">
        <f t="shared" si="59"/>
        <v>0</v>
      </c>
      <c r="O69" s="54"/>
      <c r="P69" s="54">
        <f t="shared" si="60"/>
        <v>0</v>
      </c>
      <c r="Q69" s="51" t="str">
        <f>+'BOS G1ND'!Q38</f>
        <v>SCRA</v>
      </c>
      <c r="W69" s="23"/>
    </row>
    <row r="70" spans="1:23" x14ac:dyDescent="0.3">
      <c r="A70" s="1">
        <f t="shared" si="61"/>
        <v>70</v>
      </c>
      <c r="B70" s="31"/>
      <c r="C70" s="44" t="str">
        <f>+'BOS G1ND'!C39</f>
        <v>Storm Reserve Adjustment</v>
      </c>
      <c r="D70" s="44"/>
      <c r="G70" s="53">
        <v>0</v>
      </c>
      <c r="H70" s="92"/>
      <c r="I70" s="53">
        <f t="shared" si="55"/>
        <v>0</v>
      </c>
      <c r="J70" s="53">
        <f t="shared" si="56"/>
        <v>0</v>
      </c>
      <c r="K70" s="53">
        <f t="shared" si="57"/>
        <v>0</v>
      </c>
      <c r="L70" s="37"/>
      <c r="M70" s="54">
        <f t="shared" si="58"/>
        <v>0</v>
      </c>
      <c r="N70" s="54">
        <f t="shared" si="59"/>
        <v>0</v>
      </c>
      <c r="O70" s="54"/>
      <c r="P70" s="54">
        <f t="shared" si="60"/>
        <v>0</v>
      </c>
      <c r="Q70" s="51" t="str">
        <f>+'BOS G1ND'!Q39</f>
        <v>SRA</v>
      </c>
      <c r="W70" s="23"/>
    </row>
    <row r="71" spans="1:23" x14ac:dyDescent="0.3">
      <c r="A71" s="1">
        <f t="shared" si="61"/>
        <v>71</v>
      </c>
      <c r="B71" s="31"/>
      <c r="C71" s="44" t="str">
        <f>+'BOS G1ND'!C40</f>
        <v>Basic Service Cost True Up Factor</v>
      </c>
      <c r="D71" s="44"/>
      <c r="G71" s="53">
        <v>-3.4000000000000002E-4</v>
      </c>
      <c r="H71" s="92"/>
      <c r="I71" s="53">
        <f t="shared" si="55"/>
        <v>-3.4000000000000002E-4</v>
      </c>
      <c r="J71" s="53">
        <f t="shared" si="56"/>
        <v>-3.4000000000000002E-4</v>
      </c>
      <c r="K71" s="53">
        <f t="shared" si="57"/>
        <v>-3.4000000000000002E-4</v>
      </c>
      <c r="L71" s="37"/>
      <c r="M71" s="54">
        <f t="shared" si="58"/>
        <v>0</v>
      </c>
      <c r="N71" s="54">
        <f t="shared" si="59"/>
        <v>0</v>
      </c>
      <c r="O71" s="54"/>
      <c r="P71" s="54">
        <f t="shared" si="60"/>
        <v>0</v>
      </c>
      <c r="Q71" s="51" t="str">
        <f>+'BOS G1ND'!Q40</f>
        <v>BSTF</v>
      </c>
      <c r="W71" s="23"/>
    </row>
    <row r="72" spans="1:23" x14ac:dyDescent="0.3">
      <c r="A72" s="1">
        <f t="shared" si="61"/>
        <v>72</v>
      </c>
      <c r="B72" s="31"/>
      <c r="C72" s="44" t="str">
        <f>+'BOS G1ND'!C41</f>
        <v>Solar Program Cost Adjustment Factor</v>
      </c>
      <c r="D72" s="44"/>
      <c r="G72" s="53">
        <v>1.0000000000000001E-5</v>
      </c>
      <c r="H72" s="92"/>
      <c r="I72" s="53">
        <f t="shared" si="55"/>
        <v>1.0000000000000001E-5</v>
      </c>
      <c r="J72" s="53">
        <f t="shared" si="56"/>
        <v>1.0000000000000001E-5</v>
      </c>
      <c r="K72" s="53">
        <f t="shared" si="57"/>
        <v>1.0000000000000001E-5</v>
      </c>
      <c r="L72" s="37"/>
      <c r="M72" s="54">
        <f t="shared" si="58"/>
        <v>0</v>
      </c>
      <c r="N72" s="54">
        <f t="shared" si="59"/>
        <v>0</v>
      </c>
      <c r="O72" s="54"/>
      <c r="P72" s="54">
        <f t="shared" si="60"/>
        <v>0</v>
      </c>
      <c r="Q72" s="51" t="str">
        <f>+'BOS G1ND'!Q41</f>
        <v>SPCA</v>
      </c>
      <c r="W72" s="23"/>
    </row>
    <row r="73" spans="1:23" x14ac:dyDescent="0.3">
      <c r="A73" s="1">
        <f t="shared" si="61"/>
        <v>73</v>
      </c>
      <c r="B73" s="31"/>
      <c r="C73" s="44" t="str">
        <f>+'BOS G1ND'!C42</f>
        <v>Solar Expansion Cost Recovery Factor</v>
      </c>
      <c r="D73" s="44"/>
      <c r="G73" s="53">
        <v>-3.6999999999999999E-4</v>
      </c>
      <c r="H73" s="53"/>
      <c r="I73" s="53">
        <f t="shared" si="55"/>
        <v>-3.6999999999999999E-4</v>
      </c>
      <c r="J73" s="53">
        <f t="shared" si="56"/>
        <v>-3.6999999999999999E-4</v>
      </c>
      <c r="K73" s="53">
        <f t="shared" si="57"/>
        <v>-3.6999999999999999E-4</v>
      </c>
      <c r="L73" s="37"/>
      <c r="M73" s="54">
        <f t="shared" si="58"/>
        <v>0</v>
      </c>
      <c r="N73" s="54">
        <f t="shared" si="59"/>
        <v>0</v>
      </c>
      <c r="O73" s="54"/>
      <c r="P73" s="54">
        <f t="shared" si="60"/>
        <v>0</v>
      </c>
      <c r="Q73" s="51" t="str">
        <f>+'BOS G1ND'!Q42</f>
        <v>SECRF</v>
      </c>
      <c r="W73" s="23"/>
    </row>
    <row r="74" spans="1:23" x14ac:dyDescent="0.3">
      <c r="A74" s="1">
        <f t="shared" si="61"/>
        <v>74</v>
      </c>
      <c r="B74" s="31"/>
      <c r="C74" s="44" t="str">
        <f>+'BOS G1ND'!C43</f>
        <v>Vegetation Management</v>
      </c>
      <c r="D74" s="44"/>
      <c r="G74" s="53">
        <v>1.2999999999999999E-3</v>
      </c>
      <c r="H74" s="53"/>
      <c r="I74" s="53">
        <f t="shared" si="55"/>
        <v>1.2999999999999999E-3</v>
      </c>
      <c r="J74" s="53">
        <f t="shared" si="56"/>
        <v>1.2999999999999999E-3</v>
      </c>
      <c r="K74" s="53">
        <f t="shared" si="57"/>
        <v>1.2999999999999999E-3</v>
      </c>
      <c r="L74" s="37"/>
      <c r="M74" s="54">
        <f t="shared" si="58"/>
        <v>0</v>
      </c>
      <c r="N74" s="54">
        <f t="shared" si="59"/>
        <v>0</v>
      </c>
      <c r="O74" s="54"/>
      <c r="P74" s="54">
        <f t="shared" si="60"/>
        <v>0</v>
      </c>
      <c r="Q74" s="51" t="str">
        <f>+'BOS G1ND'!Q43</f>
        <v>RTWF</v>
      </c>
      <c r="W74" s="23"/>
    </row>
    <row r="75" spans="1:23" x14ac:dyDescent="0.3">
      <c r="A75" s="1">
        <f t="shared" si="61"/>
        <v>75</v>
      </c>
      <c r="B75" s="31"/>
      <c r="C75" s="44" t="str">
        <f>+'BOS G1ND'!C44</f>
        <v>Tax Act Credit Factor</v>
      </c>
      <c r="D75" s="44"/>
      <c r="E75" s="37"/>
      <c r="F75" s="37"/>
      <c r="G75" s="53">
        <v>-1.33E-3</v>
      </c>
      <c r="H75" s="92"/>
      <c r="I75" s="53">
        <f t="shared" si="55"/>
        <v>-1.33E-3</v>
      </c>
      <c r="J75" s="53">
        <f t="shared" si="56"/>
        <v>-1.33E-3</v>
      </c>
      <c r="K75" s="53">
        <f t="shared" si="57"/>
        <v>-1.33E-3</v>
      </c>
      <c r="L75" s="37"/>
      <c r="M75" s="54">
        <f t="shared" si="58"/>
        <v>0</v>
      </c>
      <c r="N75" s="54">
        <f t="shared" si="59"/>
        <v>0</v>
      </c>
      <c r="O75" s="54"/>
      <c r="P75" s="54">
        <f t="shared" si="60"/>
        <v>0</v>
      </c>
      <c r="Q75" s="51" t="str">
        <f>+'BOS G1ND'!Q44</f>
        <v>TACF</v>
      </c>
      <c r="R75" s="37"/>
      <c r="S75" s="37"/>
      <c r="T75" s="37"/>
      <c r="U75" s="37"/>
      <c r="V75" s="37"/>
    </row>
    <row r="76" spans="1:23" x14ac:dyDescent="0.3">
      <c r="A76" s="1">
        <f t="shared" si="61"/>
        <v>76</v>
      </c>
      <c r="B76" s="31"/>
      <c r="C76" s="44" t="str">
        <f>+'BOS G1ND'!C45</f>
        <v>Grid Modernization</v>
      </c>
      <c r="D76" s="44"/>
      <c r="E76" s="37"/>
      <c r="F76" s="37"/>
      <c r="G76" s="53">
        <v>1.65E-3</v>
      </c>
      <c r="H76" s="92"/>
      <c r="I76" s="53">
        <f t="shared" si="55"/>
        <v>1.65E-3</v>
      </c>
      <c r="J76" s="53">
        <f t="shared" si="56"/>
        <v>1.65E-3</v>
      </c>
      <c r="K76" s="53">
        <f t="shared" si="57"/>
        <v>1.65E-3</v>
      </c>
      <c r="L76" s="37"/>
      <c r="M76" s="54">
        <f t="shared" si="58"/>
        <v>0</v>
      </c>
      <c r="N76" s="54">
        <f t="shared" si="59"/>
        <v>0</v>
      </c>
      <c r="O76" s="54"/>
      <c r="P76" s="54">
        <f t="shared" si="60"/>
        <v>0</v>
      </c>
      <c r="Q76" s="51" t="str">
        <f>+'BOS G1ND'!Q45</f>
        <v>GMOD</v>
      </c>
      <c r="R76" s="37"/>
      <c r="S76" s="37"/>
      <c r="T76" s="37"/>
      <c r="U76" s="37"/>
      <c r="V76" s="37"/>
    </row>
    <row r="77" spans="1:23" x14ac:dyDescent="0.3">
      <c r="A77" s="1">
        <f t="shared" si="61"/>
        <v>77</v>
      </c>
      <c r="B77" s="31"/>
      <c r="C77" s="44" t="str">
        <f>+'BOS G1ND'!C46</f>
        <v>Advanced Metering Infrastructure</v>
      </c>
      <c r="D77" s="44"/>
      <c r="E77" s="37"/>
      <c r="F77" s="37"/>
      <c r="G77" s="53">
        <v>2.1900000000000001E-3</v>
      </c>
      <c r="H77" s="92"/>
      <c r="I77" s="53">
        <f t="shared" si="55"/>
        <v>2.1900000000000001E-3</v>
      </c>
      <c r="J77" s="53">
        <f t="shared" si="56"/>
        <v>2.1900000000000001E-3</v>
      </c>
      <c r="K77" s="53">
        <f t="shared" si="57"/>
        <v>2.1900000000000001E-3</v>
      </c>
      <c r="L77" s="37"/>
      <c r="M77" s="54">
        <f t="shared" si="58"/>
        <v>0</v>
      </c>
      <c r="N77" s="54">
        <f t="shared" si="59"/>
        <v>0</v>
      </c>
      <c r="O77" s="54"/>
      <c r="P77" s="54">
        <f t="shared" si="60"/>
        <v>0</v>
      </c>
      <c r="Q77" s="51" t="str">
        <f>+'BOS G1ND'!Q46</f>
        <v>AMIF</v>
      </c>
      <c r="R77" s="37"/>
      <c r="S77" s="37"/>
      <c r="T77" s="37"/>
      <c r="U77" s="37"/>
      <c r="V77" s="37"/>
    </row>
    <row r="78" spans="1:23" x14ac:dyDescent="0.3">
      <c r="A78" s="1">
        <f t="shared" si="61"/>
        <v>78</v>
      </c>
      <c r="B78" s="31"/>
      <c r="C78" s="44" t="str">
        <f>+'BOS G1ND'!C47</f>
        <v>Electronic Payment Recovery</v>
      </c>
      <c r="D78" s="44"/>
      <c r="E78" s="37"/>
      <c r="F78" s="37"/>
      <c r="G78" s="53">
        <v>0</v>
      </c>
      <c r="H78" s="92"/>
      <c r="I78" s="53">
        <f t="shared" si="55"/>
        <v>0</v>
      </c>
      <c r="J78" s="53">
        <f t="shared" si="56"/>
        <v>0</v>
      </c>
      <c r="K78" s="53">
        <f t="shared" si="57"/>
        <v>0</v>
      </c>
      <c r="L78" s="37"/>
      <c r="M78" s="54">
        <f t="shared" si="58"/>
        <v>0</v>
      </c>
      <c r="N78" s="54">
        <f t="shared" si="59"/>
        <v>0</v>
      </c>
      <c r="O78" s="54"/>
      <c r="P78" s="54">
        <f t="shared" si="60"/>
        <v>0</v>
      </c>
      <c r="Q78" s="51" t="str">
        <f>+'BOS G1ND'!Q47</f>
        <v>EPR</v>
      </c>
      <c r="R78" s="37"/>
      <c r="S78" s="37"/>
      <c r="T78" s="37"/>
      <c r="U78" s="37"/>
      <c r="V78" s="37"/>
    </row>
    <row r="79" spans="1:23" x14ac:dyDescent="0.3">
      <c r="A79" s="1">
        <f t="shared" si="61"/>
        <v>79</v>
      </c>
      <c r="B79" s="31"/>
      <c r="C79" s="44" t="str">
        <f>+'BOS G1ND'!C48</f>
        <v>Provisional System Planning Factor</v>
      </c>
      <c r="D79" s="44"/>
      <c r="E79" s="37"/>
      <c r="F79" s="37"/>
      <c r="G79" s="91">
        <v>0</v>
      </c>
      <c r="H79" s="92"/>
      <c r="I79" s="91">
        <f t="shared" si="55"/>
        <v>0</v>
      </c>
      <c r="J79" s="91">
        <f t="shared" si="56"/>
        <v>0</v>
      </c>
      <c r="K79" s="91">
        <f t="shared" si="57"/>
        <v>0</v>
      </c>
      <c r="L79" s="37"/>
      <c r="M79" s="54">
        <f t="shared" si="58"/>
        <v>0</v>
      </c>
      <c r="N79" s="54">
        <f t="shared" si="59"/>
        <v>0</v>
      </c>
      <c r="O79" s="54"/>
      <c r="P79" s="54">
        <f t="shared" si="60"/>
        <v>0</v>
      </c>
      <c r="Q79" s="51" t="str">
        <f>+'BOS G1ND'!Q48</f>
        <v>PSPF</v>
      </c>
      <c r="R79" s="37"/>
      <c r="S79" s="37"/>
      <c r="T79" s="37"/>
      <c r="U79" s="37"/>
      <c r="V79" s="37"/>
    </row>
    <row r="80" spans="1:23" x14ac:dyDescent="0.3">
      <c r="A80" s="1">
        <f t="shared" si="61"/>
        <v>80</v>
      </c>
      <c r="B80" s="31"/>
      <c r="C80" s="44" t="str">
        <f>+'BOS G1ND'!C49</f>
        <v>Electric Vehicle Factor</v>
      </c>
      <c r="D80" s="44"/>
      <c r="E80" s="37"/>
      <c r="F80" s="37"/>
      <c r="G80" s="91">
        <v>1.0300000000000001E-3</v>
      </c>
      <c r="H80" s="92"/>
      <c r="I80" s="91">
        <f t="shared" si="55"/>
        <v>1.0300000000000001E-3</v>
      </c>
      <c r="J80" s="91">
        <f t="shared" si="56"/>
        <v>1.0300000000000001E-3</v>
      </c>
      <c r="K80" s="91">
        <f t="shared" si="57"/>
        <v>1.0300000000000001E-3</v>
      </c>
      <c r="L80" s="37"/>
      <c r="M80" s="54">
        <f t="shared" si="58"/>
        <v>0</v>
      </c>
      <c r="N80" s="54">
        <f t="shared" si="59"/>
        <v>0</v>
      </c>
      <c r="O80" s="54"/>
      <c r="P80" s="54">
        <f t="shared" si="60"/>
        <v>0</v>
      </c>
      <c r="Q80" s="51" t="str">
        <f>+'BOS G1ND'!Q49</f>
        <v>EVF</v>
      </c>
      <c r="R80" s="37"/>
      <c r="S80" s="37"/>
      <c r="T80" s="37"/>
      <c r="U80" s="37"/>
      <c r="V80" s="37"/>
    </row>
    <row r="81" spans="1:25" x14ac:dyDescent="0.3">
      <c r="A81" s="1">
        <f t="shared" si="61"/>
        <v>81</v>
      </c>
      <c r="B81" s="31"/>
      <c r="C81" s="44" t="str">
        <f>+'BOS G1ND'!C50</f>
        <v>Transition</v>
      </c>
      <c r="D81" s="44"/>
      <c r="G81" s="91">
        <v>-3.6999999999999999E-4</v>
      </c>
      <c r="H81" s="92"/>
      <c r="I81" s="91">
        <f t="shared" si="55"/>
        <v>-3.6999999999999999E-4</v>
      </c>
      <c r="J81" s="91">
        <f t="shared" si="56"/>
        <v>-3.6999999999999999E-4</v>
      </c>
      <c r="K81" s="91">
        <f t="shared" si="57"/>
        <v>-3.6999999999999999E-4</v>
      </c>
      <c r="L81" s="37"/>
      <c r="M81" s="54">
        <f t="shared" si="58"/>
        <v>0</v>
      </c>
      <c r="N81" s="54">
        <f t="shared" si="59"/>
        <v>0</v>
      </c>
      <c r="O81" s="54"/>
      <c r="P81" s="54">
        <f t="shared" si="60"/>
        <v>0</v>
      </c>
      <c r="Q81" s="51" t="str">
        <f>+'BOS G1ND'!Q50</f>
        <v>TRNSN</v>
      </c>
      <c r="W81" s="23"/>
    </row>
    <row r="82" spans="1:25" x14ac:dyDescent="0.3">
      <c r="A82" s="1">
        <f t="shared" si="61"/>
        <v>82</v>
      </c>
      <c r="B82" s="31"/>
      <c r="C82" s="44" t="s">
        <v>141</v>
      </c>
      <c r="D82" s="44"/>
      <c r="G82" s="88">
        <v>0</v>
      </c>
      <c r="H82" s="136"/>
      <c r="I82" s="88">
        <f t="shared" si="55"/>
        <v>0</v>
      </c>
      <c r="J82" s="88">
        <f t="shared" si="56"/>
        <v>0</v>
      </c>
      <c r="K82" s="88">
        <f t="shared" si="57"/>
        <v>0</v>
      </c>
      <c r="L82" s="37"/>
      <c r="M82" s="50">
        <f t="shared" si="58"/>
        <v>0</v>
      </c>
      <c r="N82" s="50">
        <f t="shared" si="59"/>
        <v>0</v>
      </c>
      <c r="O82" s="50"/>
      <c r="P82" s="50">
        <f t="shared" si="60"/>
        <v>0</v>
      </c>
      <c r="Q82" s="51" t="s">
        <v>104</v>
      </c>
      <c r="W82" s="23"/>
    </row>
    <row r="83" spans="1:25" x14ac:dyDescent="0.3">
      <c r="A83" s="1">
        <f t="shared" si="61"/>
        <v>83</v>
      </c>
      <c r="B83" s="31"/>
      <c r="C83" s="44" t="s">
        <v>142</v>
      </c>
      <c r="D83" s="44"/>
      <c r="G83" s="88">
        <v>16.510000000000002</v>
      </c>
      <c r="H83" s="92"/>
      <c r="I83" s="88">
        <f t="shared" si="55"/>
        <v>16.510000000000002</v>
      </c>
      <c r="J83" s="88">
        <f t="shared" si="56"/>
        <v>16.510000000000002</v>
      </c>
      <c r="K83" s="88">
        <f t="shared" si="57"/>
        <v>16.510000000000002</v>
      </c>
      <c r="L83" s="37"/>
      <c r="M83" s="50">
        <f t="shared" si="58"/>
        <v>0</v>
      </c>
      <c r="N83" s="50">
        <f t="shared" si="59"/>
        <v>0</v>
      </c>
      <c r="O83" s="50"/>
      <c r="P83" s="50">
        <f t="shared" si="60"/>
        <v>0</v>
      </c>
      <c r="Q83" s="51" t="s">
        <v>104</v>
      </c>
      <c r="W83" s="23"/>
    </row>
    <row r="84" spans="1:25" x14ac:dyDescent="0.3">
      <c r="A84" s="1">
        <f t="shared" si="61"/>
        <v>84</v>
      </c>
      <c r="B84" s="31"/>
      <c r="C84" s="44" t="s">
        <v>105</v>
      </c>
      <c r="D84" s="44"/>
      <c r="G84" s="91">
        <v>-8.1300000000000001E-3</v>
      </c>
      <c r="H84" s="92"/>
      <c r="I84" s="91">
        <v>1.038E-2</v>
      </c>
      <c r="J84" s="91">
        <v>1.333E-2</v>
      </c>
      <c r="K84" s="91">
        <v>1.3129999999999999E-2</v>
      </c>
      <c r="L84" s="37"/>
      <c r="M84" s="54">
        <f t="shared" si="58"/>
        <v>1.8509999999999999E-2</v>
      </c>
      <c r="N84" s="54">
        <f t="shared" si="59"/>
        <v>2.9499999999999995E-3</v>
      </c>
      <c r="O84" s="54"/>
      <c r="P84" s="54">
        <f t="shared" si="60"/>
        <v>-2.0000000000000052E-4</v>
      </c>
      <c r="Q84" s="51" t="s">
        <v>106</v>
      </c>
      <c r="W84" s="23"/>
    </row>
    <row r="85" spans="1:25" x14ac:dyDescent="0.3">
      <c r="A85" s="1">
        <f t="shared" si="61"/>
        <v>85</v>
      </c>
      <c r="B85" s="31"/>
      <c r="C85" s="44" t="s">
        <v>107</v>
      </c>
      <c r="D85" s="44"/>
      <c r="G85" s="91">
        <v>2.5000000000000001E-3</v>
      </c>
      <c r="H85" s="92"/>
      <c r="I85" s="91">
        <f t="shared" si="55"/>
        <v>2.5000000000000001E-3</v>
      </c>
      <c r="J85" s="91">
        <f t="shared" si="56"/>
        <v>2.5000000000000001E-3</v>
      </c>
      <c r="K85" s="91">
        <f t="shared" si="57"/>
        <v>2.5000000000000001E-3</v>
      </c>
      <c r="M85" s="54">
        <f t="shared" si="58"/>
        <v>0</v>
      </c>
      <c r="N85" s="54">
        <f t="shared" si="59"/>
        <v>0</v>
      </c>
      <c r="O85" s="54"/>
      <c r="P85" s="54">
        <f t="shared" si="60"/>
        <v>0</v>
      </c>
      <c r="Q85" s="51" t="s">
        <v>108</v>
      </c>
      <c r="W85" s="23"/>
    </row>
    <row r="86" spans="1:25" x14ac:dyDescent="0.3">
      <c r="A86" s="1">
        <f t="shared" si="61"/>
        <v>86</v>
      </c>
      <c r="B86" s="31"/>
      <c r="C86" s="44" t="s">
        <v>109</v>
      </c>
      <c r="D86" s="44"/>
      <c r="G86" s="91">
        <v>5.0000000000000001E-4</v>
      </c>
      <c r="H86" s="92"/>
      <c r="I86" s="91">
        <f t="shared" si="55"/>
        <v>5.0000000000000001E-4</v>
      </c>
      <c r="J86" s="91">
        <f t="shared" si="56"/>
        <v>5.0000000000000001E-4</v>
      </c>
      <c r="K86" s="91">
        <f t="shared" si="57"/>
        <v>5.0000000000000001E-4</v>
      </c>
      <c r="M86" s="54">
        <f t="shared" si="58"/>
        <v>0</v>
      </c>
      <c r="N86" s="54">
        <f t="shared" si="59"/>
        <v>0</v>
      </c>
      <c r="O86" s="54"/>
      <c r="P86" s="54">
        <f t="shared" si="60"/>
        <v>0</v>
      </c>
      <c r="Q86" s="51" t="s">
        <v>110</v>
      </c>
      <c r="W86" s="23"/>
      <c r="X86" s="23"/>
    </row>
    <row r="87" spans="1:25" x14ac:dyDescent="0.3">
      <c r="A87" s="1">
        <f t="shared" si="61"/>
        <v>87</v>
      </c>
      <c r="B87" s="31"/>
      <c r="C87" s="44" t="s">
        <v>111</v>
      </c>
      <c r="D87" s="44"/>
      <c r="G87" s="53">
        <v>0.15676999999999999</v>
      </c>
      <c r="H87" s="92"/>
      <c r="I87" s="53">
        <f t="shared" si="55"/>
        <v>0.15676999999999999</v>
      </c>
      <c r="J87" s="53">
        <f t="shared" si="56"/>
        <v>0.15676999999999999</v>
      </c>
      <c r="K87" s="53">
        <f t="shared" si="57"/>
        <v>0.15676999999999999</v>
      </c>
      <c r="M87" s="54">
        <f t="shared" si="58"/>
        <v>0</v>
      </c>
      <c r="N87" s="54">
        <f t="shared" si="59"/>
        <v>0</v>
      </c>
      <c r="O87" s="54"/>
      <c r="P87" s="54">
        <f t="shared" si="60"/>
        <v>0</v>
      </c>
      <c r="Q87" s="51" t="s">
        <v>112</v>
      </c>
      <c r="W87" s="23"/>
      <c r="X87" s="23"/>
    </row>
    <row r="88" spans="1:25" x14ac:dyDescent="0.3">
      <c r="A88" s="1"/>
      <c r="B88" s="104"/>
      <c r="C88" s="44"/>
      <c r="D88" s="44"/>
      <c r="E88" s="143"/>
      <c r="G88" s="92"/>
      <c r="H88" s="92"/>
      <c r="I88" s="92"/>
      <c r="J88" s="94"/>
      <c r="W88" s="23"/>
      <c r="X88" s="23"/>
      <c r="Y88" s="23"/>
    </row>
    <row r="89" spans="1:25" x14ac:dyDescent="0.3">
      <c r="A89" s="1"/>
      <c r="B89" s="104"/>
      <c r="C89" s="44" t="s">
        <v>58</v>
      </c>
      <c r="D89" s="44"/>
      <c r="G89" s="88">
        <f>+G57</f>
        <v>20</v>
      </c>
      <c r="H89" s="142"/>
      <c r="I89" s="88">
        <f>+I57</f>
        <v>20</v>
      </c>
      <c r="J89" s="88">
        <f>+J57</f>
        <v>20</v>
      </c>
      <c r="K89" s="88">
        <f>+K57</f>
        <v>20</v>
      </c>
      <c r="W89" s="23"/>
      <c r="X89" s="23"/>
      <c r="Y89" s="23"/>
    </row>
    <row r="90" spans="1:25" x14ac:dyDescent="0.3">
      <c r="A90" s="1"/>
      <c r="B90" s="104"/>
      <c r="C90" s="44" t="s">
        <v>143</v>
      </c>
      <c r="D90" s="44"/>
      <c r="G90" s="88">
        <f>SUM(G58,G82)</f>
        <v>0</v>
      </c>
      <c r="H90" s="142"/>
      <c r="I90" s="88">
        <f t="shared" ref="I90:K91" si="62">SUM(I58,I82)</f>
        <v>0</v>
      </c>
      <c r="J90" s="88">
        <f t="shared" si="62"/>
        <v>0</v>
      </c>
      <c r="K90" s="88">
        <f t="shared" si="62"/>
        <v>0</v>
      </c>
      <c r="W90" s="23"/>
      <c r="X90" s="23"/>
      <c r="Y90" s="23"/>
    </row>
    <row r="91" spans="1:25" x14ac:dyDescent="0.3">
      <c r="A91" s="1"/>
      <c r="B91" s="104"/>
      <c r="C91" s="44" t="s">
        <v>144</v>
      </c>
      <c r="D91" s="44"/>
      <c r="G91" s="88">
        <f>SUM(G59,G83)</f>
        <v>36.75</v>
      </c>
      <c r="H91" s="142"/>
      <c r="I91" s="88">
        <f t="shared" si="62"/>
        <v>36.75</v>
      </c>
      <c r="J91" s="88">
        <f t="shared" si="62"/>
        <v>36.75</v>
      </c>
      <c r="K91" s="88">
        <f t="shared" si="62"/>
        <v>36.75</v>
      </c>
      <c r="W91" s="23"/>
      <c r="X91" s="23"/>
      <c r="Y91" s="23"/>
    </row>
    <row r="92" spans="1:25" x14ac:dyDescent="0.3">
      <c r="A92" s="1"/>
      <c r="C92" s="44" t="s">
        <v>122</v>
      </c>
      <c r="D92" s="44"/>
      <c r="G92" s="92">
        <f>SUM(G60:G81,G84:G86)</f>
        <v>3.9190000000000003E-2</v>
      </c>
      <c r="H92" s="92"/>
      <c r="I92" s="92">
        <f>SUM(I60:I81,I84:I86)</f>
        <v>5.7700000000000001E-2</v>
      </c>
      <c r="J92" s="92">
        <f t="shared" ref="J92" si="63">SUM(J60:J81,J84:J86)</f>
        <v>6.0650000000000003E-2</v>
      </c>
      <c r="K92" s="92">
        <f>SUM(K60:K81,K84:K86)</f>
        <v>6.0450000000000004E-2</v>
      </c>
      <c r="W92" s="23"/>
      <c r="X92" s="23"/>
      <c r="Y92" s="23"/>
    </row>
    <row r="93" spans="1:25" x14ac:dyDescent="0.3">
      <c r="A93" s="1"/>
      <c r="C93" s="44" t="s">
        <v>123</v>
      </c>
      <c r="D93" s="44"/>
      <c r="G93" s="92">
        <f>+G87</f>
        <v>0.15676999999999999</v>
      </c>
      <c r="H93" s="92"/>
      <c r="I93" s="92">
        <f>+I87</f>
        <v>0.15676999999999999</v>
      </c>
      <c r="J93" s="92">
        <f>+J87</f>
        <v>0.15676999999999999</v>
      </c>
      <c r="K93" s="92">
        <f>+K87</f>
        <v>0.15676999999999999</v>
      </c>
      <c r="W93" s="23"/>
    </row>
    <row r="94" spans="1:25" x14ac:dyDescent="0.3">
      <c r="A94" s="31" t="str">
        <f>IF(C94&lt;&gt;"",COUNTA($C$12:C94),"")</f>
        <v/>
      </c>
      <c r="C94" s="44"/>
      <c r="D94" s="44"/>
    </row>
    <row r="124" spans="2:23" x14ac:dyDescent="0.3">
      <c r="B124" s="144"/>
    </row>
    <row r="125" spans="2:23" x14ac:dyDescent="0.3">
      <c r="B125" s="144"/>
      <c r="C125" s="145"/>
      <c r="D125" s="145"/>
      <c r="E125" s="146"/>
      <c r="F125" s="146"/>
      <c r="G125" s="146"/>
      <c r="H125" s="147"/>
      <c r="I125" s="146"/>
      <c r="J125" s="146"/>
      <c r="K125" s="146"/>
      <c r="L125" s="147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8"/>
    </row>
    <row r="126" spans="2:23" x14ac:dyDescent="0.3">
      <c r="B126" s="144"/>
      <c r="C126" s="145"/>
      <c r="D126" s="145"/>
      <c r="E126" s="146"/>
      <c r="F126" s="146"/>
      <c r="G126" s="146"/>
      <c r="H126" s="147"/>
      <c r="I126" s="146"/>
      <c r="J126" s="146"/>
      <c r="K126" s="146"/>
      <c r="L126" s="147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8"/>
    </row>
    <row r="127" spans="2:23" x14ac:dyDescent="0.3">
      <c r="B127" s="144"/>
      <c r="C127" s="145"/>
      <c r="D127" s="145"/>
      <c r="E127" s="146"/>
      <c r="F127" s="146"/>
      <c r="G127" s="146"/>
      <c r="H127" s="147"/>
      <c r="I127" s="146"/>
      <c r="J127" s="146"/>
      <c r="K127" s="146"/>
      <c r="L127" s="147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8"/>
    </row>
    <row r="128" spans="2:23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</row>
    <row r="129" spans="2:23" x14ac:dyDescent="0.3">
      <c r="B129" s="144"/>
      <c r="C129" s="145"/>
      <c r="D129" s="145"/>
      <c r="E129" s="146"/>
      <c r="F129" s="146"/>
      <c r="G129" s="146"/>
      <c r="H129" s="147"/>
      <c r="I129" s="146"/>
      <c r="J129" s="146"/>
      <c r="K129" s="146"/>
      <c r="L129" s="147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8"/>
    </row>
    <row r="130" spans="2:23" x14ac:dyDescent="0.3">
      <c r="B130" s="144"/>
      <c r="C130" s="145"/>
      <c r="D130" s="145"/>
      <c r="E130" s="146"/>
      <c r="F130" s="146"/>
      <c r="G130" s="146"/>
      <c r="H130" s="147"/>
      <c r="I130" s="146"/>
      <c r="J130" s="146"/>
      <c r="K130" s="146"/>
      <c r="L130" s="147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8"/>
    </row>
    <row r="131" spans="2:23" x14ac:dyDescent="0.3">
      <c r="B131" s="144"/>
      <c r="C131" s="145"/>
      <c r="D131" s="145"/>
      <c r="E131" s="146"/>
      <c r="F131" s="146"/>
      <c r="G131" s="146"/>
      <c r="H131" s="147"/>
      <c r="I131" s="146"/>
      <c r="J131" s="146"/>
      <c r="K131" s="146"/>
      <c r="L131" s="147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8"/>
    </row>
  </sheetData>
  <mergeCells count="7">
    <mergeCell ref="AA12:AB12"/>
    <mergeCell ref="E12:G12"/>
    <mergeCell ref="I12:K12"/>
    <mergeCell ref="M12:N12"/>
    <mergeCell ref="P12:R12"/>
    <mergeCell ref="T12:U12"/>
    <mergeCell ref="W12:Y12"/>
  </mergeCells>
  <pageMargins left="0.7" right="0.7" top="0.75" bottom="0.75" header="0.3" footer="0.3"/>
  <pageSetup scale="35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892F-6936-4D82-B9DE-8D53953DAE1E}">
  <sheetPr>
    <tabColor theme="3" tint="0.59999389629810485"/>
    <pageSetUpPr fitToPage="1"/>
  </sheetPr>
  <dimension ref="A1:AD264"/>
  <sheetViews>
    <sheetView zoomScaleNormal="100" workbookViewId="0"/>
  </sheetViews>
  <sheetFormatPr defaultColWidth="8.7265625" defaultRowHeight="13" x14ac:dyDescent="0.3"/>
  <cols>
    <col min="1" max="1" width="4" style="68" customWidth="1"/>
    <col min="2" max="2" width="4.453125" style="68" bestFit="1" customWidth="1"/>
    <col min="3" max="7" width="11.81640625" style="68" customWidth="1"/>
    <col min="8" max="8" width="2" style="68" customWidth="1"/>
    <col min="9" max="11" width="11.81640625" style="68" customWidth="1"/>
    <col min="12" max="12" width="2" style="68" customWidth="1"/>
    <col min="13" max="14" width="11.81640625" style="68" customWidth="1"/>
    <col min="15" max="15" width="2" style="68" customWidth="1"/>
    <col min="16" max="18" width="11.81640625" style="68" customWidth="1"/>
    <col min="19" max="19" width="2" style="68" customWidth="1"/>
    <col min="20" max="21" width="11.81640625" style="68" customWidth="1"/>
    <col min="22" max="22" width="2" style="68" customWidth="1"/>
    <col min="23" max="25" width="11.81640625" style="68" customWidth="1"/>
    <col min="26" max="26" width="2" style="68" customWidth="1"/>
    <col min="27" max="28" width="11.81640625" style="68" customWidth="1"/>
    <col min="29" max="16384" width="8.7265625" style="68"/>
  </cols>
  <sheetData>
    <row r="1" spans="1:30" ht="14" x14ac:dyDescent="0.3">
      <c r="A1" s="67">
        <v>1</v>
      </c>
      <c r="C1" s="69"/>
      <c r="D1" s="69"/>
      <c r="E1" s="99"/>
      <c r="F1" s="99"/>
      <c r="G1" s="70"/>
      <c r="H1" s="100"/>
    </row>
    <row r="2" spans="1:30" ht="14" x14ac:dyDescent="0.3">
      <c r="A2" s="67">
        <f>A1+1</f>
        <v>2</v>
      </c>
      <c r="C2" s="70"/>
      <c r="D2" s="70"/>
      <c r="E2" s="101"/>
      <c r="F2" s="99"/>
      <c r="G2" s="70"/>
      <c r="H2" s="100"/>
    </row>
    <row r="3" spans="1:30" ht="14" x14ac:dyDescent="0.3">
      <c r="A3" s="67">
        <f t="shared" ref="A3:A66" si="0">A2+1</f>
        <v>3</v>
      </c>
      <c r="B3" s="24" t="s">
        <v>115</v>
      </c>
      <c r="E3" s="102"/>
      <c r="G3" s="70"/>
      <c r="H3" s="100"/>
    </row>
    <row r="4" spans="1:30" ht="14" x14ac:dyDescent="0.3">
      <c r="A4" s="67">
        <f t="shared" si="0"/>
        <v>4</v>
      </c>
      <c r="B4" s="24" t="s">
        <v>41</v>
      </c>
      <c r="E4" s="101"/>
      <c r="F4" s="101"/>
      <c r="G4" s="101"/>
      <c r="H4" s="29"/>
      <c r="I4" s="101"/>
    </row>
    <row r="5" spans="1:30" ht="14" x14ac:dyDescent="0.3">
      <c r="A5" s="67">
        <f t="shared" si="0"/>
        <v>5</v>
      </c>
      <c r="B5" s="24"/>
      <c r="E5" s="101"/>
      <c r="F5" s="101"/>
      <c r="G5" s="101"/>
      <c r="H5" s="29"/>
      <c r="I5" s="101"/>
    </row>
    <row r="6" spans="1:30" ht="14" x14ac:dyDescent="0.3">
      <c r="A6" s="67">
        <f t="shared" si="0"/>
        <v>6</v>
      </c>
      <c r="B6" s="24" t="s">
        <v>138</v>
      </c>
      <c r="E6" s="101"/>
      <c r="F6" s="101"/>
      <c r="G6" s="101"/>
      <c r="H6" s="29"/>
      <c r="I6" s="101"/>
    </row>
    <row r="7" spans="1:30" ht="14" x14ac:dyDescent="0.3">
      <c r="A7" s="67">
        <f t="shared" si="0"/>
        <v>7</v>
      </c>
      <c r="B7" s="67"/>
      <c r="E7" s="101"/>
      <c r="F7" s="101"/>
      <c r="G7" s="101"/>
      <c r="H7" s="29"/>
      <c r="I7" s="101"/>
    </row>
    <row r="8" spans="1:30" ht="14" x14ac:dyDescent="0.3">
      <c r="A8" s="67">
        <f t="shared" si="0"/>
        <v>8</v>
      </c>
      <c r="B8" s="28"/>
      <c r="E8" s="101"/>
      <c r="G8" s="101"/>
      <c r="H8" s="103"/>
      <c r="I8" s="101"/>
    </row>
    <row r="9" spans="1:30" ht="14" x14ac:dyDescent="0.3">
      <c r="A9" s="67">
        <f t="shared" si="0"/>
        <v>9</v>
      </c>
      <c r="B9" s="101"/>
      <c r="E9" s="101"/>
      <c r="F9" s="101"/>
      <c r="G9" s="101"/>
      <c r="H9" s="103"/>
      <c r="I9" s="101"/>
    </row>
    <row r="10" spans="1:30" ht="14" x14ac:dyDescent="0.3">
      <c r="A10" s="67">
        <f t="shared" si="0"/>
        <v>10</v>
      </c>
      <c r="B10" s="27"/>
      <c r="C10" s="27" t="str">
        <f>+'WMA G1ND'!C10</f>
        <v>Monthly</v>
      </c>
      <c r="D10" s="27" t="str">
        <f>+'BOS G1D'!D12</f>
        <v>Monthly</v>
      </c>
      <c r="E10" s="32" t="str">
        <f>'EMA R1'!D10</f>
        <v>2024 Monthly Bill</v>
      </c>
      <c r="F10" s="32"/>
      <c r="G10" s="32"/>
      <c r="H10" s="133"/>
      <c r="I10" s="32" t="str">
        <f>'EMA R1'!H10</f>
        <v>2025 Illustrative Monthly Bill</v>
      </c>
      <c r="J10" s="32"/>
      <c r="K10" s="32"/>
      <c r="L10" s="23"/>
      <c r="M10" s="32" t="str">
        <f>'EMA R1'!L10</f>
        <v>2025 vs. 2024</v>
      </c>
      <c r="N10" s="32"/>
      <c r="O10" s="27"/>
      <c r="P10" s="32" t="str">
        <f>'EMA R1'!O10</f>
        <v>2026 Illustrative Monthly Bill</v>
      </c>
      <c r="Q10" s="32"/>
      <c r="R10" s="32"/>
      <c r="S10" s="133"/>
      <c r="T10" s="32" t="str">
        <f>'EMA R1'!S10</f>
        <v>2026 vs. 2025</v>
      </c>
      <c r="U10" s="32"/>
      <c r="V10" s="23"/>
      <c r="W10" s="32" t="str">
        <f>'EMA R1'!V10</f>
        <v>2027 Illustrative Monthly Bill</v>
      </c>
      <c r="X10" s="32"/>
      <c r="Y10" s="32"/>
      <c r="Z10" s="133"/>
      <c r="AA10" s="32" t="str">
        <f>'EMA R1'!Z10</f>
        <v>2027 vs. 2026</v>
      </c>
      <c r="AB10" s="32"/>
      <c r="AC10" s="101"/>
    </row>
    <row r="11" spans="1:30" ht="14" x14ac:dyDescent="0.3">
      <c r="A11" s="67">
        <f t="shared" si="0"/>
        <v>11</v>
      </c>
      <c r="B11" s="27"/>
      <c r="C11" s="34" t="s">
        <v>125</v>
      </c>
      <c r="D11" s="34" t="str">
        <f>+'WMA G1ND'!C11</f>
        <v xml:space="preserve">kWh </v>
      </c>
      <c r="E11" s="34" t="s">
        <v>48</v>
      </c>
      <c r="F11" s="34" t="s">
        <v>49</v>
      </c>
      <c r="G11" s="34" t="s">
        <v>50</v>
      </c>
      <c r="H11" s="34"/>
      <c r="I11" s="34" t="s">
        <v>48</v>
      </c>
      <c r="J11" s="34" t="s">
        <v>49</v>
      </c>
      <c r="K11" s="34" t="s">
        <v>50</v>
      </c>
      <c r="L11" s="23"/>
      <c r="M11" s="34" t="s">
        <v>51</v>
      </c>
      <c r="N11" s="34" t="s">
        <v>14</v>
      </c>
      <c r="O11" s="34"/>
      <c r="P11" s="34" t="s">
        <v>48</v>
      </c>
      <c r="Q11" s="34" t="s">
        <v>49</v>
      </c>
      <c r="R11" s="34" t="s">
        <v>50</v>
      </c>
      <c r="S11" s="34"/>
      <c r="T11" s="34" t="s">
        <v>51</v>
      </c>
      <c r="U11" s="34" t="s">
        <v>14</v>
      </c>
      <c r="V11" s="23"/>
      <c r="W11" s="34" t="s">
        <v>48</v>
      </c>
      <c r="X11" s="34" t="s">
        <v>49</v>
      </c>
      <c r="Y11" s="34" t="s">
        <v>50</v>
      </c>
      <c r="Z11" s="34"/>
      <c r="AA11" s="34" t="s">
        <v>51</v>
      </c>
      <c r="AB11" s="34" t="s">
        <v>14</v>
      </c>
    </row>
    <row r="12" spans="1:30" ht="14" x14ac:dyDescent="0.3">
      <c r="A12" s="67">
        <f t="shared" si="0"/>
        <v>12</v>
      </c>
      <c r="B12" s="101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Z12" s="34"/>
    </row>
    <row r="13" spans="1:30" ht="14" x14ac:dyDescent="0.3">
      <c r="A13" s="67">
        <f t="shared" si="0"/>
        <v>13</v>
      </c>
      <c r="B13" s="27"/>
      <c r="C13" s="101" t="s">
        <v>126</v>
      </c>
      <c r="D13" s="104">
        <v>90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Z13" s="34"/>
    </row>
    <row r="14" spans="1:30" ht="14" x14ac:dyDescent="0.3">
      <c r="A14" s="67">
        <f t="shared" si="0"/>
        <v>14</v>
      </c>
      <c r="B14" s="27"/>
      <c r="C14" s="105">
        <v>1</v>
      </c>
      <c r="D14" s="106">
        <f t="shared" ref="D14:D20" si="1">C14*$D$13</f>
        <v>90</v>
      </c>
      <c r="E14" s="36">
        <f>ROUND($G$75+$G$78*$D14+IF($C14&gt;2,($C14-2)*$G$77+2*$G$76,$C14*$G$76),2)</f>
        <v>32.75</v>
      </c>
      <c r="F14" s="36">
        <f>($G$79*$D14)</f>
        <v>12.5838</v>
      </c>
      <c r="G14" s="36">
        <f>SUM(E14:F14)</f>
        <v>45.333799999999997</v>
      </c>
      <c r="H14" s="111"/>
      <c r="I14" s="36">
        <f>ROUND($I$75+$I$78*$D14+IF($C14&gt;2,($C14-2)*$I$77+2*$I$76,$C14*$I$76),2)</f>
        <v>34.409999999999997</v>
      </c>
      <c r="J14" s="36">
        <f>($I$79*$D14)</f>
        <v>12.5838</v>
      </c>
      <c r="K14" s="36">
        <f>SUM(I14:J14)</f>
        <v>46.993799999999993</v>
      </c>
      <c r="L14" s="109"/>
      <c r="M14" s="36">
        <f t="shared" ref="M14:M20" si="2">K14-G14</f>
        <v>1.6599999999999966</v>
      </c>
      <c r="N14" s="107">
        <f t="shared" ref="N14:N38" si="3">M14/G14</f>
        <v>3.6617270116336968E-2</v>
      </c>
      <c r="O14" s="36"/>
      <c r="P14" s="36">
        <f>ROUND($J$75+$J$78*$D14+IF($C14&gt;2,($C14-2)*$J$77+2*$J$76,$C14*$J$76),2)</f>
        <v>34.68</v>
      </c>
      <c r="Q14" s="36">
        <f>($J$79*$D14)</f>
        <v>12.5838</v>
      </c>
      <c r="R14" s="36">
        <f>SUM(P14:Q14)</f>
        <v>47.263800000000003</v>
      </c>
      <c r="S14" s="109"/>
      <c r="T14" s="36">
        <f>R14-K14</f>
        <v>0.27000000000001023</v>
      </c>
      <c r="U14" s="107">
        <f>T14/K14</f>
        <v>5.7454387600068581E-3</v>
      </c>
      <c r="V14" s="36"/>
      <c r="W14" s="36">
        <f>ROUND($K$75+$K$78*$D14+IF($C14&gt;2,($C14-2)*$K$77+2*$K$76,$C14*$K$76),2)</f>
        <v>34.659999999999997</v>
      </c>
      <c r="X14" s="36">
        <f>($K$79*$D14)</f>
        <v>12.5838</v>
      </c>
      <c r="Y14" s="36">
        <f>SUM(W14:X14)</f>
        <v>47.243799999999993</v>
      </c>
      <c r="Z14" s="109"/>
      <c r="AA14" s="36">
        <f>Y14-R14</f>
        <v>-2.0000000000010232E-2</v>
      </c>
      <c r="AB14" s="107">
        <f>AA14/R14</f>
        <v>-4.2315683461783079E-4</v>
      </c>
      <c r="AC14" s="108"/>
      <c r="AD14" s="109"/>
    </row>
    <row r="15" spans="1:30" ht="14" x14ac:dyDescent="0.3">
      <c r="A15" s="67">
        <f t="shared" si="0"/>
        <v>15</v>
      </c>
      <c r="B15" s="27"/>
      <c r="C15" s="105">
        <v>2</v>
      </c>
      <c r="D15" s="106">
        <f t="shared" si="1"/>
        <v>180</v>
      </c>
      <c r="E15" s="36">
        <f t="shared" ref="E15:E20" si="4">ROUND($G$75+$G$78*$D15+IF($C15&gt;2,($C15-2)*$G$77+2*$G$76,$C15*$G$76),2)</f>
        <v>35.49</v>
      </c>
      <c r="F15" s="36">
        <f>($G$79*$D15)</f>
        <v>25.1676</v>
      </c>
      <c r="G15" s="36">
        <f t="shared" ref="G15:G20" si="5">SUM(E15:F15)</f>
        <v>60.657600000000002</v>
      </c>
      <c r="H15" s="111"/>
      <c r="I15" s="36">
        <f t="shared" ref="I15:I20" si="6">ROUND($I$75+$I$78*$D15+IF($C15&gt;2,($C15-2)*$I$77+2*$I$76,$C15*$I$76),2)</f>
        <v>38.82</v>
      </c>
      <c r="J15" s="36">
        <f>($I$79*$D15)</f>
        <v>25.1676</v>
      </c>
      <c r="K15" s="36">
        <f t="shared" ref="K15:K20" si="7">SUM(I15:J15)</f>
        <v>63.9876</v>
      </c>
      <c r="L15" s="109"/>
      <c r="M15" s="36">
        <f t="shared" si="2"/>
        <v>3.3299999999999983</v>
      </c>
      <c r="N15" s="107">
        <f t="shared" si="3"/>
        <v>5.4898314473371818E-2</v>
      </c>
      <c r="O15" s="36"/>
      <c r="P15" s="36">
        <f t="shared" ref="P15:P20" si="8">ROUND($J$75+$J$78*$D15+IF($C15&gt;2,($C15-2)*$J$77+2*$J$76,$C15*$J$76),2)</f>
        <v>39.35</v>
      </c>
      <c r="Q15" s="36">
        <f t="shared" ref="Q15:Q38" si="9">($J$79*$D15)</f>
        <v>25.1676</v>
      </c>
      <c r="R15" s="36">
        <f t="shared" ref="R15:R38" si="10">SUM(P15:Q15)</f>
        <v>64.517600000000002</v>
      </c>
      <c r="S15" s="109"/>
      <c r="T15" s="36">
        <f t="shared" ref="T15:T38" si="11">R15-K15</f>
        <v>0.53000000000000114</v>
      </c>
      <c r="U15" s="107">
        <f t="shared" ref="U15:U38" si="12">T15/K15</f>
        <v>8.2828548031181216E-3</v>
      </c>
      <c r="V15" s="36"/>
      <c r="W15" s="36">
        <f t="shared" ref="W15:W20" si="13">ROUND($K$75+$K$78*$D15+IF($C15&gt;2,($C15-2)*$K$77+2*$K$76,$C15*$K$76),2)</f>
        <v>39.32</v>
      </c>
      <c r="X15" s="36">
        <f t="shared" ref="X15:X37" si="14">($K$79*$D15)</f>
        <v>25.1676</v>
      </c>
      <c r="Y15" s="36">
        <f t="shared" ref="Y15:Y38" si="15">SUM(W15:X15)</f>
        <v>64.4876</v>
      </c>
      <c r="Z15" s="109"/>
      <c r="AA15" s="36">
        <f t="shared" ref="AA15:AA38" si="16">Y15-R15</f>
        <v>-3.0000000000001137E-2</v>
      </c>
      <c r="AB15" s="107">
        <f t="shared" ref="AB15:AB38" si="17">AA15/R15</f>
        <v>-4.6498939824173767E-4</v>
      </c>
      <c r="AC15" s="108"/>
      <c r="AD15" s="109"/>
    </row>
    <row r="16" spans="1:30" ht="14" x14ac:dyDescent="0.3">
      <c r="A16" s="67">
        <f t="shared" si="0"/>
        <v>16</v>
      </c>
      <c r="B16" s="27"/>
      <c r="C16" s="105">
        <v>3</v>
      </c>
      <c r="D16" s="106">
        <f t="shared" si="1"/>
        <v>270</v>
      </c>
      <c r="E16" s="36">
        <f t="shared" si="4"/>
        <v>61.36</v>
      </c>
      <c r="F16" s="36">
        <f t="shared" ref="F16:F37" si="18">($G$79*$D16)</f>
        <v>37.751399999999997</v>
      </c>
      <c r="G16" s="36">
        <f t="shared" si="5"/>
        <v>99.111400000000003</v>
      </c>
      <c r="H16" s="111"/>
      <c r="I16" s="36">
        <f t="shared" si="6"/>
        <v>66.36</v>
      </c>
      <c r="J16" s="36">
        <f t="shared" ref="J16:J38" si="19">($I$79*$D16)</f>
        <v>37.751399999999997</v>
      </c>
      <c r="K16" s="36">
        <f t="shared" si="7"/>
        <v>104.1114</v>
      </c>
      <c r="L16" s="109"/>
      <c r="M16" s="36">
        <f t="shared" si="2"/>
        <v>5</v>
      </c>
      <c r="N16" s="107">
        <f t="shared" si="3"/>
        <v>5.0448283446707438E-2</v>
      </c>
      <c r="O16" s="36"/>
      <c r="P16" s="36">
        <f t="shared" si="8"/>
        <v>67.150000000000006</v>
      </c>
      <c r="Q16" s="36">
        <f t="shared" si="9"/>
        <v>37.751399999999997</v>
      </c>
      <c r="R16" s="36">
        <f t="shared" si="10"/>
        <v>104.9014</v>
      </c>
      <c r="S16" s="109"/>
      <c r="T16" s="36">
        <f t="shared" si="11"/>
        <v>0.78999999999999204</v>
      </c>
      <c r="U16" s="107">
        <f t="shared" si="12"/>
        <v>7.5880259030230313E-3</v>
      </c>
      <c r="V16" s="36"/>
      <c r="W16" s="36">
        <f t="shared" si="13"/>
        <v>67.099999999999994</v>
      </c>
      <c r="X16" s="36">
        <f t="shared" si="14"/>
        <v>37.751399999999997</v>
      </c>
      <c r="Y16" s="36">
        <f t="shared" si="15"/>
        <v>104.85139999999998</v>
      </c>
      <c r="Z16" s="109"/>
      <c r="AA16" s="36">
        <f t="shared" si="16"/>
        <v>-5.0000000000011369E-2</v>
      </c>
      <c r="AB16" s="107">
        <f t="shared" si="17"/>
        <v>-4.7663806202787924E-4</v>
      </c>
      <c r="AC16" s="108"/>
      <c r="AD16" s="109"/>
    </row>
    <row r="17" spans="1:30" ht="14" x14ac:dyDescent="0.3">
      <c r="A17" s="67">
        <f t="shared" si="0"/>
        <v>17</v>
      </c>
      <c r="B17" s="27"/>
      <c r="C17" s="105">
        <v>5</v>
      </c>
      <c r="D17" s="106">
        <f t="shared" si="1"/>
        <v>450</v>
      </c>
      <c r="E17" s="36">
        <f t="shared" si="4"/>
        <v>113.09</v>
      </c>
      <c r="F17" s="36">
        <f t="shared" si="18"/>
        <v>62.918999999999997</v>
      </c>
      <c r="G17" s="36">
        <f t="shared" si="5"/>
        <v>176.00900000000001</v>
      </c>
      <c r="H17" s="111"/>
      <c r="I17" s="36">
        <f t="shared" si="6"/>
        <v>121.42</v>
      </c>
      <c r="J17" s="36">
        <f t="shared" si="19"/>
        <v>62.918999999999997</v>
      </c>
      <c r="K17" s="36">
        <f t="shared" si="7"/>
        <v>184.339</v>
      </c>
      <c r="L17" s="109"/>
      <c r="M17" s="36">
        <f t="shared" si="2"/>
        <v>8.3299999999999841</v>
      </c>
      <c r="N17" s="107">
        <f t="shared" si="3"/>
        <v>4.7327125317455261E-2</v>
      </c>
      <c r="O17" s="36"/>
      <c r="P17" s="36">
        <f t="shared" si="8"/>
        <v>122.75</v>
      </c>
      <c r="Q17" s="36">
        <f t="shared" si="9"/>
        <v>62.918999999999997</v>
      </c>
      <c r="R17" s="36">
        <f t="shared" si="10"/>
        <v>185.66899999999998</v>
      </c>
      <c r="S17" s="109"/>
      <c r="T17" s="36">
        <f t="shared" si="11"/>
        <v>1.3299999999999841</v>
      </c>
      <c r="U17" s="107">
        <f t="shared" si="12"/>
        <v>7.2149680751223784E-3</v>
      </c>
      <c r="V17" s="36"/>
      <c r="W17" s="36">
        <f t="shared" si="13"/>
        <v>122.66</v>
      </c>
      <c r="X17" s="36">
        <f>($K$79*$D17)</f>
        <v>62.918999999999997</v>
      </c>
      <c r="Y17" s="36">
        <f t="shared" si="15"/>
        <v>185.57900000000001</v>
      </c>
      <c r="Z17" s="109"/>
      <c r="AA17" s="36">
        <f t="shared" si="16"/>
        <v>-8.9999999999974989E-2</v>
      </c>
      <c r="AB17" s="107">
        <f t="shared" si="17"/>
        <v>-4.8473358503560096E-4</v>
      </c>
      <c r="AC17" s="108"/>
      <c r="AD17" s="109"/>
    </row>
    <row r="18" spans="1:30" ht="14" x14ac:dyDescent="0.3">
      <c r="A18" s="67">
        <f t="shared" si="0"/>
        <v>18</v>
      </c>
      <c r="B18" s="27"/>
      <c r="C18" s="105">
        <v>8</v>
      </c>
      <c r="D18" s="106">
        <f t="shared" si="1"/>
        <v>720</v>
      </c>
      <c r="E18" s="36">
        <f t="shared" si="4"/>
        <v>190.69</v>
      </c>
      <c r="F18" s="36">
        <f t="shared" si="18"/>
        <v>100.6704</v>
      </c>
      <c r="G18" s="36">
        <f t="shared" si="5"/>
        <v>291.36040000000003</v>
      </c>
      <c r="H18" s="111"/>
      <c r="I18" s="36">
        <f t="shared" si="6"/>
        <v>204.01</v>
      </c>
      <c r="J18" s="36">
        <f t="shared" si="19"/>
        <v>100.6704</v>
      </c>
      <c r="K18" s="36">
        <f t="shared" si="7"/>
        <v>304.68039999999996</v>
      </c>
      <c r="L18" s="109"/>
      <c r="M18" s="36">
        <f t="shared" si="2"/>
        <v>13.319999999999936</v>
      </c>
      <c r="N18" s="107">
        <f t="shared" si="3"/>
        <v>4.5716576446215532E-2</v>
      </c>
      <c r="O18" s="36"/>
      <c r="P18" s="36">
        <f t="shared" si="8"/>
        <v>206.14</v>
      </c>
      <c r="Q18" s="36">
        <f>($J$79*$D18)</f>
        <v>100.6704</v>
      </c>
      <c r="R18" s="36">
        <f t="shared" si="10"/>
        <v>306.81039999999996</v>
      </c>
      <c r="S18" s="109"/>
      <c r="T18" s="36">
        <f t="shared" si="11"/>
        <v>2.1299999999999955</v>
      </c>
      <c r="U18" s="107">
        <f t="shared" si="12"/>
        <v>6.9909321374134852E-3</v>
      </c>
      <c r="V18" s="36"/>
      <c r="W18" s="36">
        <f t="shared" si="13"/>
        <v>205.99</v>
      </c>
      <c r="X18" s="36">
        <f t="shared" si="14"/>
        <v>100.6704</v>
      </c>
      <c r="Y18" s="36">
        <f t="shared" si="15"/>
        <v>306.66039999999998</v>
      </c>
      <c r="Z18" s="109"/>
      <c r="AA18" s="36">
        <f t="shared" si="16"/>
        <v>-0.14999999999997726</v>
      </c>
      <c r="AB18" s="107">
        <f t="shared" si="17"/>
        <v>-4.8890128887409709E-4</v>
      </c>
      <c r="AC18" s="108"/>
      <c r="AD18" s="109"/>
    </row>
    <row r="19" spans="1:30" ht="14" x14ac:dyDescent="0.3">
      <c r="A19" s="67">
        <f t="shared" si="0"/>
        <v>19</v>
      </c>
      <c r="B19" s="101"/>
      <c r="C19" s="105">
        <v>20</v>
      </c>
      <c r="D19" s="106">
        <f t="shared" si="1"/>
        <v>1800</v>
      </c>
      <c r="E19" s="36">
        <f t="shared" si="4"/>
        <v>501.08</v>
      </c>
      <c r="F19" s="36">
        <f t="shared" si="18"/>
        <v>251.67599999999999</v>
      </c>
      <c r="G19" s="36">
        <f t="shared" si="5"/>
        <v>752.75599999999997</v>
      </c>
      <c r="H19" s="111"/>
      <c r="I19" s="36">
        <f t="shared" si="6"/>
        <v>534.4</v>
      </c>
      <c r="J19" s="36">
        <f t="shared" si="19"/>
        <v>251.67599999999999</v>
      </c>
      <c r="K19" s="36">
        <f t="shared" si="7"/>
        <v>786.07600000000002</v>
      </c>
      <c r="L19" s="109"/>
      <c r="M19" s="36">
        <f t="shared" si="2"/>
        <v>33.32000000000005</v>
      </c>
      <c r="N19" s="107">
        <f t="shared" si="3"/>
        <v>4.426401118024971E-2</v>
      </c>
      <c r="O19" s="36"/>
      <c r="P19" s="36">
        <f t="shared" si="8"/>
        <v>539.71</v>
      </c>
      <c r="Q19" s="36">
        <f t="shared" si="9"/>
        <v>251.67599999999999</v>
      </c>
      <c r="R19" s="36">
        <f t="shared" si="10"/>
        <v>791.38599999999997</v>
      </c>
      <c r="S19" s="109"/>
      <c r="T19" s="36">
        <f t="shared" si="11"/>
        <v>5.3099999999999454</v>
      </c>
      <c r="U19" s="107">
        <f t="shared" si="12"/>
        <v>6.7550720286587368E-3</v>
      </c>
      <c r="V19" s="36"/>
      <c r="W19" s="36">
        <f t="shared" si="13"/>
        <v>539.35</v>
      </c>
      <c r="X19" s="36">
        <f t="shared" si="14"/>
        <v>251.67599999999999</v>
      </c>
      <c r="Y19" s="36">
        <f t="shared" si="15"/>
        <v>791.02600000000007</v>
      </c>
      <c r="Z19" s="109"/>
      <c r="AA19" s="36">
        <f t="shared" si="16"/>
        <v>-0.35999999999989996</v>
      </c>
      <c r="AB19" s="107">
        <f t="shared" si="17"/>
        <v>-4.5489811545806972E-4</v>
      </c>
      <c r="AC19" s="108"/>
      <c r="AD19" s="109"/>
    </row>
    <row r="20" spans="1:30" ht="14" x14ac:dyDescent="0.3">
      <c r="A20" s="67">
        <f t="shared" si="0"/>
        <v>20</v>
      </c>
      <c r="B20" s="71" t="s">
        <v>52</v>
      </c>
      <c r="C20" s="105">
        <v>7</v>
      </c>
      <c r="D20" s="106">
        <f t="shared" si="1"/>
        <v>630</v>
      </c>
      <c r="E20" s="36">
        <f t="shared" si="4"/>
        <v>164.82</v>
      </c>
      <c r="F20" s="36">
        <f t="shared" si="18"/>
        <v>88.086600000000004</v>
      </c>
      <c r="G20" s="36">
        <f t="shared" si="5"/>
        <v>252.9066</v>
      </c>
      <c r="H20" s="111"/>
      <c r="I20" s="36">
        <f t="shared" si="6"/>
        <v>176.48</v>
      </c>
      <c r="J20" s="36">
        <f t="shared" si="19"/>
        <v>88.086600000000004</v>
      </c>
      <c r="K20" s="36">
        <f t="shared" si="7"/>
        <v>264.56659999999999</v>
      </c>
      <c r="L20" s="109"/>
      <c r="M20" s="36">
        <f t="shared" si="2"/>
        <v>11.659999999999997</v>
      </c>
      <c r="N20" s="107">
        <f t="shared" si="3"/>
        <v>4.6103976725004395E-2</v>
      </c>
      <c r="O20" s="36"/>
      <c r="P20" s="36">
        <f t="shared" si="8"/>
        <v>178.34</v>
      </c>
      <c r="Q20" s="36">
        <f t="shared" si="9"/>
        <v>88.086600000000004</v>
      </c>
      <c r="R20" s="36">
        <f t="shared" si="10"/>
        <v>266.42660000000001</v>
      </c>
      <c r="S20" s="109"/>
      <c r="T20" s="36">
        <f t="shared" si="11"/>
        <v>1.8600000000000136</v>
      </c>
      <c r="U20" s="107">
        <f t="shared" si="12"/>
        <v>7.0303658889671397E-3</v>
      </c>
      <c r="V20" s="36"/>
      <c r="W20" s="36">
        <f t="shared" si="13"/>
        <v>178.22</v>
      </c>
      <c r="X20" s="36">
        <f t="shared" si="14"/>
        <v>88.086600000000004</v>
      </c>
      <c r="Y20" s="36">
        <f t="shared" si="15"/>
        <v>266.3066</v>
      </c>
      <c r="Z20" s="109"/>
      <c r="AA20" s="36">
        <f t="shared" si="16"/>
        <v>-0.12000000000000455</v>
      </c>
      <c r="AB20" s="107">
        <f t="shared" si="17"/>
        <v>-4.5040547753116448E-4</v>
      </c>
      <c r="AC20" s="108"/>
      <c r="AD20" s="109"/>
    </row>
    <row r="21" spans="1:30" ht="14" x14ac:dyDescent="0.3">
      <c r="A21" s="67">
        <f t="shared" si="0"/>
        <v>21</v>
      </c>
      <c r="B21" s="27"/>
      <c r="C21" s="110"/>
      <c r="D21" s="110"/>
      <c r="E21" s="36"/>
      <c r="F21" s="36"/>
      <c r="G21" s="36"/>
      <c r="H21" s="111"/>
      <c r="I21" s="36"/>
      <c r="J21" s="36"/>
      <c r="K21" s="36"/>
      <c r="L21" s="109"/>
      <c r="M21" s="36"/>
      <c r="N21" s="107"/>
      <c r="O21" s="36"/>
      <c r="P21" s="36"/>
      <c r="Q21" s="36"/>
      <c r="R21" s="36"/>
      <c r="S21" s="36"/>
      <c r="T21" s="36"/>
      <c r="U21" s="107"/>
      <c r="V21" s="36"/>
      <c r="W21" s="36"/>
      <c r="X21" s="36"/>
      <c r="Y21" s="36"/>
      <c r="Z21" s="112"/>
      <c r="AA21" s="36"/>
      <c r="AB21" s="107"/>
      <c r="AD21" s="109"/>
    </row>
    <row r="22" spans="1:30" ht="14" x14ac:dyDescent="0.3">
      <c r="A22" s="67">
        <f t="shared" si="0"/>
        <v>22</v>
      </c>
      <c r="B22" s="102"/>
      <c r="C22" s="101" t="s">
        <v>126</v>
      </c>
      <c r="D22" s="104">
        <v>230</v>
      </c>
      <c r="E22" s="36"/>
      <c r="F22" s="36"/>
      <c r="G22" s="109"/>
      <c r="H22" s="109"/>
      <c r="I22" s="36"/>
      <c r="J22" s="36"/>
      <c r="K22" s="109"/>
      <c r="L22" s="109"/>
      <c r="M22" s="109"/>
      <c r="N22" s="107"/>
      <c r="O22" s="109"/>
      <c r="P22" s="36"/>
      <c r="Q22" s="36"/>
      <c r="R22" s="36"/>
      <c r="S22" s="109"/>
      <c r="T22" s="36"/>
      <c r="U22" s="107"/>
      <c r="V22" s="109"/>
      <c r="W22" s="36"/>
      <c r="X22" s="36"/>
      <c r="Y22" s="36"/>
      <c r="Z22" s="112"/>
      <c r="AA22" s="36"/>
      <c r="AB22" s="107"/>
    </row>
    <row r="23" spans="1:30" ht="14" x14ac:dyDescent="0.3">
      <c r="A23" s="67">
        <f t="shared" si="0"/>
        <v>23</v>
      </c>
      <c r="B23" s="102"/>
      <c r="C23" s="105">
        <v>1</v>
      </c>
      <c r="D23" s="106">
        <f t="shared" ref="D23:D29" si="20">C23*$D$22</f>
        <v>230</v>
      </c>
      <c r="E23" s="36">
        <f t="shared" ref="E23:E29" si="21">ROUND($G$75+$G$78*$D23+IF($C23&gt;2,($C23-2)*$G$77+2*$G$76,$C23*$G$76),2)</f>
        <v>37.020000000000003</v>
      </c>
      <c r="F23" s="36">
        <f t="shared" si="18"/>
        <v>32.1586</v>
      </c>
      <c r="G23" s="36">
        <f>SUM(E23:F23)</f>
        <v>69.178600000000003</v>
      </c>
      <c r="H23" s="111"/>
      <c r="I23" s="36">
        <f>ROUND($I$75+$I$78*$D23+IF($C23&gt;2,($C23-2)*$I$77+2*$I$76,$C23*$I$76),2)</f>
        <v>41.27</v>
      </c>
      <c r="J23" s="36">
        <f t="shared" si="19"/>
        <v>32.1586</v>
      </c>
      <c r="K23" s="36">
        <f>SUM(I23:J23)</f>
        <v>73.428600000000003</v>
      </c>
      <c r="L23" s="109"/>
      <c r="M23" s="36">
        <f t="shared" ref="M23:M29" si="22">K23-G23</f>
        <v>4.25</v>
      </c>
      <c r="N23" s="107">
        <f t="shared" si="3"/>
        <v>6.1435183712882306E-2</v>
      </c>
      <c r="O23" s="36"/>
      <c r="P23" s="36">
        <f t="shared" ref="P23:P29" si="23">ROUND($J$75+$J$78*$D23+IF($C23&gt;2,($C23-2)*$J$77+2*$J$76,$C23*$J$76),2)</f>
        <v>41.95</v>
      </c>
      <c r="Q23" s="36">
        <f t="shared" si="9"/>
        <v>32.1586</v>
      </c>
      <c r="R23" s="36">
        <f t="shared" si="10"/>
        <v>74.108599999999996</v>
      </c>
      <c r="S23" s="36"/>
      <c r="T23" s="36">
        <f t="shared" si="11"/>
        <v>0.67999999999999261</v>
      </c>
      <c r="U23" s="107">
        <f t="shared" si="12"/>
        <v>9.260696785720994E-3</v>
      </c>
      <c r="V23" s="36"/>
      <c r="W23" s="36">
        <f>ROUND($K$75+$K$78*$D23+IF($C23&gt;2,($C23-2)*$K$77+2*$K$76,$C23*$K$76),2)</f>
        <v>41.91</v>
      </c>
      <c r="X23" s="36">
        <f t="shared" si="14"/>
        <v>32.1586</v>
      </c>
      <c r="Y23" s="36">
        <f t="shared" si="15"/>
        <v>74.068600000000004</v>
      </c>
      <c r="Z23" s="112"/>
      <c r="AA23" s="36">
        <f t="shared" si="16"/>
        <v>-3.9999999999992042E-2</v>
      </c>
      <c r="AB23" s="107">
        <f t="shared" si="17"/>
        <v>-5.3974842325981115E-4</v>
      </c>
      <c r="AC23" s="108"/>
      <c r="AD23" s="109"/>
    </row>
    <row r="24" spans="1:30" ht="14" x14ac:dyDescent="0.3">
      <c r="A24" s="67">
        <f t="shared" si="0"/>
        <v>24</v>
      </c>
      <c r="B24" s="102"/>
      <c r="C24" s="105">
        <v>3</v>
      </c>
      <c r="D24" s="106">
        <f t="shared" si="20"/>
        <v>690</v>
      </c>
      <c r="E24" s="36">
        <f t="shared" si="21"/>
        <v>74.17</v>
      </c>
      <c r="F24" s="36">
        <f t="shared" si="18"/>
        <v>96.475800000000007</v>
      </c>
      <c r="G24" s="36">
        <f t="shared" ref="G24:G29" si="24">SUM(E24:F24)</f>
        <v>170.64580000000001</v>
      </c>
      <c r="H24" s="111"/>
      <c r="I24" s="36">
        <f t="shared" ref="I24:I29" si="25">ROUND($I$75+$I$78*$D24+IF($C24&gt;2,($C24-2)*$I$77+2*$I$76,$C24*$I$76),2)</f>
        <v>86.94</v>
      </c>
      <c r="J24" s="36">
        <f t="shared" si="19"/>
        <v>96.475800000000007</v>
      </c>
      <c r="K24" s="36">
        <f t="shared" ref="K24:K29" si="26">SUM(I24:J24)</f>
        <v>183.41579999999999</v>
      </c>
      <c r="L24" s="109"/>
      <c r="M24" s="36">
        <f t="shared" si="22"/>
        <v>12.769999999999982</v>
      </c>
      <c r="N24" s="107">
        <f t="shared" si="3"/>
        <v>7.4833368298545769E-2</v>
      </c>
      <c r="O24" s="36"/>
      <c r="P24" s="36">
        <f t="shared" si="23"/>
        <v>88.98</v>
      </c>
      <c r="Q24" s="36">
        <f t="shared" si="9"/>
        <v>96.475800000000007</v>
      </c>
      <c r="R24" s="36">
        <f t="shared" si="10"/>
        <v>185.45580000000001</v>
      </c>
      <c r="S24" s="36"/>
      <c r="T24" s="36">
        <f t="shared" si="11"/>
        <v>2.0400000000000205</v>
      </c>
      <c r="U24" s="107">
        <f t="shared" si="12"/>
        <v>1.1122269728126043E-2</v>
      </c>
      <c r="V24" s="36"/>
      <c r="W24" s="36">
        <f t="shared" ref="W24:W29" si="27">ROUND($K$75+$K$78*$D24+IF($C24&gt;2,($C24-2)*$K$77+2*$K$76,$C24*$K$76),2)</f>
        <v>88.84</v>
      </c>
      <c r="X24" s="36">
        <f t="shared" si="14"/>
        <v>96.475800000000007</v>
      </c>
      <c r="Y24" s="36">
        <f t="shared" si="15"/>
        <v>185.31580000000002</v>
      </c>
      <c r="Z24" s="112"/>
      <c r="AA24" s="36">
        <f t="shared" si="16"/>
        <v>-0.13999999999998636</v>
      </c>
      <c r="AB24" s="107">
        <f t="shared" si="17"/>
        <v>-7.5489685412905038E-4</v>
      </c>
      <c r="AC24" s="108"/>
      <c r="AD24" s="109"/>
    </row>
    <row r="25" spans="1:30" ht="14" x14ac:dyDescent="0.3">
      <c r="A25" s="67">
        <f t="shared" si="0"/>
        <v>25</v>
      </c>
      <c r="B25" s="102"/>
      <c r="C25" s="105">
        <v>5</v>
      </c>
      <c r="D25" s="106">
        <f t="shared" si="20"/>
        <v>1150</v>
      </c>
      <c r="E25" s="36">
        <f t="shared" si="21"/>
        <v>134.44999999999999</v>
      </c>
      <c r="F25" s="36">
        <f>($G$79*$D25)</f>
        <v>160.79300000000001</v>
      </c>
      <c r="G25" s="36">
        <f t="shared" si="24"/>
        <v>295.24299999999999</v>
      </c>
      <c r="H25" s="111"/>
      <c r="I25" s="36">
        <f t="shared" si="25"/>
        <v>155.72999999999999</v>
      </c>
      <c r="J25" s="36">
        <f t="shared" si="19"/>
        <v>160.79300000000001</v>
      </c>
      <c r="K25" s="36">
        <f t="shared" si="26"/>
        <v>316.52300000000002</v>
      </c>
      <c r="L25" s="109"/>
      <c r="M25" s="36">
        <f t="shared" si="22"/>
        <v>21.28000000000003</v>
      </c>
      <c r="N25" s="107">
        <f t="shared" si="3"/>
        <v>7.2076221959538514E-2</v>
      </c>
      <c r="O25" s="36"/>
      <c r="P25" s="36">
        <f t="shared" si="23"/>
        <v>159.13</v>
      </c>
      <c r="Q25" s="36">
        <f>($J$79*$D25)</f>
        <v>160.79300000000001</v>
      </c>
      <c r="R25" s="36">
        <f t="shared" si="10"/>
        <v>319.923</v>
      </c>
      <c r="S25" s="36"/>
      <c r="T25" s="36">
        <f t="shared" si="11"/>
        <v>3.3999999999999773</v>
      </c>
      <c r="U25" s="107">
        <f t="shared" si="12"/>
        <v>1.0741715451957606E-2</v>
      </c>
      <c r="V25" s="36"/>
      <c r="W25" s="36">
        <f t="shared" si="27"/>
        <v>158.9</v>
      </c>
      <c r="X25" s="36">
        <f t="shared" si="14"/>
        <v>160.79300000000001</v>
      </c>
      <c r="Y25" s="36">
        <f t="shared" si="15"/>
        <v>319.69299999999998</v>
      </c>
      <c r="Z25" s="112"/>
      <c r="AA25" s="36">
        <f t="shared" si="16"/>
        <v>-0.23000000000001819</v>
      </c>
      <c r="AB25" s="107">
        <f t="shared" si="17"/>
        <v>-7.1892299084472884E-4</v>
      </c>
      <c r="AC25" s="108"/>
      <c r="AD25" s="109"/>
    </row>
    <row r="26" spans="1:30" ht="14" x14ac:dyDescent="0.3">
      <c r="A26" s="67">
        <f t="shared" si="0"/>
        <v>26</v>
      </c>
      <c r="B26" s="102"/>
      <c r="C26" s="105">
        <v>8</v>
      </c>
      <c r="D26" s="106">
        <f t="shared" si="20"/>
        <v>1840</v>
      </c>
      <c r="E26" s="36">
        <f t="shared" si="21"/>
        <v>224.86</v>
      </c>
      <c r="F26" s="36">
        <f t="shared" si="18"/>
        <v>257.2688</v>
      </c>
      <c r="G26" s="36">
        <f t="shared" si="24"/>
        <v>482.12880000000001</v>
      </c>
      <c r="H26" s="111"/>
      <c r="I26" s="36">
        <f t="shared" si="25"/>
        <v>258.92</v>
      </c>
      <c r="J26" s="36">
        <f>($I$79*$D26)</f>
        <v>257.2688</v>
      </c>
      <c r="K26" s="36">
        <f t="shared" si="26"/>
        <v>516.18880000000001</v>
      </c>
      <c r="L26" s="109"/>
      <c r="M26" s="36">
        <f t="shared" si="22"/>
        <v>34.06</v>
      </c>
      <c r="N26" s="107">
        <f t="shared" si="3"/>
        <v>7.0645022657845793E-2</v>
      </c>
      <c r="O26" s="36"/>
      <c r="P26" s="36">
        <f t="shared" si="23"/>
        <v>264.33999999999997</v>
      </c>
      <c r="Q26" s="36">
        <f t="shared" si="9"/>
        <v>257.2688</v>
      </c>
      <c r="R26" s="36">
        <f t="shared" si="10"/>
        <v>521.60879999999997</v>
      </c>
      <c r="S26" s="36"/>
      <c r="T26" s="36">
        <f t="shared" si="11"/>
        <v>5.4199999999999591</v>
      </c>
      <c r="U26" s="107">
        <f t="shared" si="12"/>
        <v>1.0500034096051597E-2</v>
      </c>
      <c r="V26" s="36"/>
      <c r="W26" s="36">
        <f t="shared" si="27"/>
        <v>263.98</v>
      </c>
      <c r="X26" s="36">
        <f t="shared" si="14"/>
        <v>257.2688</v>
      </c>
      <c r="Y26" s="36">
        <f t="shared" si="15"/>
        <v>521.24880000000007</v>
      </c>
      <c r="Z26" s="112"/>
      <c r="AA26" s="36">
        <f t="shared" si="16"/>
        <v>-0.35999999999989996</v>
      </c>
      <c r="AB26" s="107">
        <f t="shared" si="17"/>
        <v>-6.9017240506659395E-4</v>
      </c>
      <c r="AC26" s="108"/>
      <c r="AD26" s="109"/>
    </row>
    <row r="27" spans="1:30" ht="14" x14ac:dyDescent="0.3">
      <c r="A27" s="67">
        <f t="shared" si="0"/>
        <v>27</v>
      </c>
      <c r="B27" s="102"/>
      <c r="C27" s="105">
        <v>13</v>
      </c>
      <c r="D27" s="106">
        <f t="shared" si="20"/>
        <v>2990</v>
      </c>
      <c r="E27" s="36">
        <f t="shared" si="21"/>
        <v>375.54</v>
      </c>
      <c r="F27" s="36">
        <f t="shared" si="18"/>
        <v>418.06180000000001</v>
      </c>
      <c r="G27" s="36">
        <f t="shared" si="24"/>
        <v>793.60180000000003</v>
      </c>
      <c r="H27" s="111"/>
      <c r="I27" s="36">
        <f t="shared" si="25"/>
        <v>430.89</v>
      </c>
      <c r="J27" s="36">
        <f t="shared" si="19"/>
        <v>418.06180000000001</v>
      </c>
      <c r="K27" s="36">
        <f t="shared" si="26"/>
        <v>848.95180000000005</v>
      </c>
      <c r="L27" s="109"/>
      <c r="M27" s="36">
        <f t="shared" si="22"/>
        <v>55.350000000000023</v>
      </c>
      <c r="N27" s="107">
        <f t="shared" si="3"/>
        <v>6.9745305517200221E-2</v>
      </c>
      <c r="O27" s="36"/>
      <c r="P27" s="36">
        <f t="shared" si="23"/>
        <v>439.71</v>
      </c>
      <c r="Q27" s="36">
        <f t="shared" si="9"/>
        <v>418.06180000000001</v>
      </c>
      <c r="R27" s="36">
        <f t="shared" si="10"/>
        <v>857.77179999999998</v>
      </c>
      <c r="S27" s="36"/>
      <c r="T27" s="36">
        <f t="shared" si="11"/>
        <v>8.8199999999999363</v>
      </c>
      <c r="U27" s="107">
        <f t="shared" si="12"/>
        <v>1.0389282406845637E-2</v>
      </c>
      <c r="V27" s="36"/>
      <c r="W27" s="36">
        <f t="shared" si="27"/>
        <v>439.11</v>
      </c>
      <c r="X27" s="36">
        <f>($K$79*$D27)</f>
        <v>418.06180000000001</v>
      </c>
      <c r="Y27" s="36">
        <f t="shared" si="15"/>
        <v>857.17180000000008</v>
      </c>
      <c r="Z27" s="112"/>
      <c r="AA27" s="36">
        <f t="shared" si="16"/>
        <v>-0.59999999999990905</v>
      </c>
      <c r="AB27" s="107">
        <f t="shared" si="17"/>
        <v>-6.9948673994634598E-4</v>
      </c>
      <c r="AC27" s="108"/>
      <c r="AD27" s="109"/>
    </row>
    <row r="28" spans="1:30" ht="14" x14ac:dyDescent="0.3">
      <c r="A28" s="67">
        <f t="shared" si="0"/>
        <v>28</v>
      </c>
      <c r="B28" s="102"/>
      <c r="C28" s="105">
        <v>35</v>
      </c>
      <c r="D28" s="106">
        <f t="shared" si="20"/>
        <v>8050</v>
      </c>
      <c r="E28" s="36">
        <f t="shared" si="21"/>
        <v>1038.57</v>
      </c>
      <c r="F28" s="36">
        <f t="shared" si="18"/>
        <v>1125.5509999999999</v>
      </c>
      <c r="G28" s="36">
        <f t="shared" si="24"/>
        <v>2164.1210000000001</v>
      </c>
      <c r="H28" s="111"/>
      <c r="I28" s="36">
        <f t="shared" si="25"/>
        <v>1187.57</v>
      </c>
      <c r="J28" s="36">
        <f t="shared" si="19"/>
        <v>1125.5509999999999</v>
      </c>
      <c r="K28" s="36">
        <f t="shared" si="26"/>
        <v>2313.1210000000001</v>
      </c>
      <c r="L28" s="109"/>
      <c r="M28" s="36">
        <f t="shared" si="22"/>
        <v>149</v>
      </c>
      <c r="N28" s="107">
        <f t="shared" si="3"/>
        <v>6.8850124369201168E-2</v>
      </c>
      <c r="O28" s="36"/>
      <c r="P28" s="36">
        <f t="shared" si="23"/>
        <v>1211.32</v>
      </c>
      <c r="Q28" s="36">
        <f t="shared" si="9"/>
        <v>1125.5509999999999</v>
      </c>
      <c r="R28" s="36">
        <f t="shared" si="10"/>
        <v>2336.8710000000001</v>
      </c>
      <c r="S28" s="36"/>
      <c r="T28" s="36">
        <f t="shared" si="11"/>
        <v>23.75</v>
      </c>
      <c r="U28" s="107">
        <f t="shared" si="12"/>
        <v>1.0267513026772054E-2</v>
      </c>
      <c r="V28" s="36"/>
      <c r="W28" s="36">
        <f t="shared" si="27"/>
        <v>1209.71</v>
      </c>
      <c r="X28" s="36">
        <f t="shared" si="14"/>
        <v>1125.5509999999999</v>
      </c>
      <c r="Y28" s="36">
        <f t="shared" si="15"/>
        <v>2335.261</v>
      </c>
      <c r="Z28" s="112"/>
      <c r="AA28" s="36">
        <f t="shared" si="16"/>
        <v>-1.6100000000001273</v>
      </c>
      <c r="AB28" s="107">
        <f t="shared" si="17"/>
        <v>-6.8895544512304161E-4</v>
      </c>
      <c r="AC28" s="108"/>
      <c r="AD28" s="109"/>
    </row>
    <row r="29" spans="1:30" ht="14" x14ac:dyDescent="0.3">
      <c r="A29" s="67">
        <f t="shared" si="0"/>
        <v>29</v>
      </c>
      <c r="B29" s="71" t="s">
        <v>52</v>
      </c>
      <c r="C29" s="113">
        <v>10</v>
      </c>
      <c r="D29" s="106">
        <f t="shared" si="20"/>
        <v>2300</v>
      </c>
      <c r="E29" s="36">
        <f t="shared" si="21"/>
        <v>285.13</v>
      </c>
      <c r="F29" s="36">
        <f t="shared" si="18"/>
        <v>321.58600000000001</v>
      </c>
      <c r="G29" s="36">
        <f t="shared" si="24"/>
        <v>606.71600000000001</v>
      </c>
      <c r="H29" s="111"/>
      <c r="I29" s="36">
        <f t="shared" si="25"/>
        <v>327.71</v>
      </c>
      <c r="J29" s="36">
        <f t="shared" si="19"/>
        <v>321.58600000000001</v>
      </c>
      <c r="K29" s="36">
        <f t="shared" si="26"/>
        <v>649.29600000000005</v>
      </c>
      <c r="L29" s="109"/>
      <c r="M29" s="36">
        <f t="shared" si="22"/>
        <v>42.580000000000041</v>
      </c>
      <c r="N29" s="107">
        <f t="shared" si="3"/>
        <v>7.0181106151807504E-2</v>
      </c>
      <c r="O29" s="36"/>
      <c r="P29" s="36">
        <f t="shared" si="23"/>
        <v>334.49</v>
      </c>
      <c r="Q29" s="36">
        <f t="shared" si="9"/>
        <v>321.58600000000001</v>
      </c>
      <c r="R29" s="36">
        <f t="shared" si="10"/>
        <v>656.07600000000002</v>
      </c>
      <c r="S29" s="36"/>
      <c r="T29" s="36">
        <f t="shared" si="11"/>
        <v>6.7799999999999727</v>
      </c>
      <c r="U29" s="107">
        <f t="shared" si="12"/>
        <v>1.0442078805352216E-2</v>
      </c>
      <c r="V29" s="36"/>
      <c r="W29" s="36">
        <f t="shared" si="27"/>
        <v>334.03</v>
      </c>
      <c r="X29" s="36">
        <f t="shared" si="14"/>
        <v>321.58600000000001</v>
      </c>
      <c r="Y29" s="36">
        <f t="shared" si="15"/>
        <v>655.61599999999999</v>
      </c>
      <c r="Z29" s="112"/>
      <c r="AA29" s="36">
        <f t="shared" si="16"/>
        <v>-0.46000000000003638</v>
      </c>
      <c r="AB29" s="107">
        <f t="shared" si="17"/>
        <v>-7.0113828275997962E-4</v>
      </c>
      <c r="AC29" s="108"/>
      <c r="AD29" s="109"/>
    </row>
    <row r="30" spans="1:30" ht="14" x14ac:dyDescent="0.3">
      <c r="A30" s="67">
        <f t="shared" si="0"/>
        <v>30</v>
      </c>
      <c r="B30" s="102"/>
      <c r="C30" s="110"/>
      <c r="D30" s="110"/>
      <c r="E30" s="36"/>
      <c r="F30" s="36"/>
      <c r="G30" s="109"/>
      <c r="H30" s="111"/>
      <c r="I30" s="36"/>
      <c r="J30" s="36"/>
      <c r="K30" s="109"/>
      <c r="L30" s="109"/>
      <c r="M30" s="109"/>
      <c r="N30" s="107"/>
      <c r="O30" s="109"/>
      <c r="P30" s="36"/>
      <c r="Q30" s="36"/>
      <c r="R30" s="36"/>
      <c r="S30" s="109"/>
      <c r="T30" s="36"/>
      <c r="U30" s="107"/>
      <c r="V30" s="109"/>
      <c r="W30" s="36"/>
      <c r="X30" s="36"/>
      <c r="Y30" s="36"/>
      <c r="AA30" s="36"/>
      <c r="AB30" s="107"/>
      <c r="AD30" s="109"/>
    </row>
    <row r="31" spans="1:30" ht="14" x14ac:dyDescent="0.3">
      <c r="A31" s="67">
        <f t="shared" si="0"/>
        <v>31</v>
      </c>
      <c r="B31" s="102"/>
      <c r="C31" s="101" t="s">
        <v>126</v>
      </c>
      <c r="D31" s="104">
        <v>415</v>
      </c>
      <c r="E31" s="36"/>
      <c r="F31" s="36"/>
      <c r="G31" s="109"/>
      <c r="H31" s="109"/>
      <c r="I31" s="36"/>
      <c r="J31" s="36"/>
      <c r="K31" s="109"/>
      <c r="L31" s="109"/>
      <c r="M31" s="109"/>
      <c r="N31" s="107"/>
      <c r="O31" s="109"/>
      <c r="P31" s="36"/>
      <c r="Q31" s="36"/>
      <c r="R31" s="36"/>
      <c r="S31" s="109"/>
      <c r="T31" s="36"/>
      <c r="U31" s="107"/>
      <c r="V31" s="109"/>
      <c r="W31" s="36"/>
      <c r="X31" s="36"/>
      <c r="Y31" s="36"/>
      <c r="AA31" s="36"/>
      <c r="AB31" s="107"/>
    </row>
    <row r="32" spans="1:30" ht="14" x14ac:dyDescent="0.3">
      <c r="A32" s="67">
        <f t="shared" si="0"/>
        <v>32</v>
      </c>
      <c r="B32" s="102"/>
      <c r="C32" s="105">
        <v>1</v>
      </c>
      <c r="D32" s="106">
        <f t="shared" ref="D32:D38" si="28">C32*$D$31</f>
        <v>415</v>
      </c>
      <c r="E32" s="36">
        <f t="shared" ref="E32:E38" si="29">ROUND($G$75+$G$78*$D32+IF($C32&gt;2,($C32-2)*$G$77+2*$G$76,$C32*$G$76),2)</f>
        <v>42.66</v>
      </c>
      <c r="F32" s="36">
        <f t="shared" si="18"/>
        <v>58.025300000000001</v>
      </c>
      <c r="G32" s="36">
        <f>SUM(E32:F32)</f>
        <v>100.6853</v>
      </c>
      <c r="H32" s="111"/>
      <c r="I32" s="36">
        <f>ROUND($I$75+$I$78*$D32+IF($C32&gt;2,($C32-2)*$I$77+2*$I$76,$C32*$I$76),2)</f>
        <v>50.34</v>
      </c>
      <c r="J32" s="36">
        <f t="shared" si="19"/>
        <v>58.025300000000001</v>
      </c>
      <c r="K32" s="36">
        <f>SUM(I32:J32)</f>
        <v>108.3653</v>
      </c>
      <c r="L32" s="109"/>
      <c r="M32" s="36">
        <f t="shared" ref="M32:M38" si="30">K32-G32</f>
        <v>7.6800000000000068</v>
      </c>
      <c r="N32" s="107">
        <f t="shared" si="3"/>
        <v>7.6277271855971093E-2</v>
      </c>
      <c r="O32" s="36"/>
      <c r="P32" s="36">
        <f t="shared" ref="P32:P38" si="31">ROUND($J$75+$J$78*$D32+IF($C32&gt;2,($C32-2)*$J$77+2*$J$76,$C32*$J$76),2)</f>
        <v>51.57</v>
      </c>
      <c r="Q32" s="36">
        <f t="shared" si="9"/>
        <v>58.025300000000001</v>
      </c>
      <c r="R32" s="36">
        <f t="shared" si="10"/>
        <v>109.59530000000001</v>
      </c>
      <c r="S32" s="36"/>
      <c r="T32" s="36">
        <f t="shared" si="11"/>
        <v>1.230000000000004</v>
      </c>
      <c r="U32" s="107">
        <f t="shared" si="12"/>
        <v>1.1350496884150222E-2</v>
      </c>
      <c r="V32" s="36"/>
      <c r="W32" s="36">
        <f>ROUND($K$75+$K$78*$D32+IF($C32&gt;2,($C32-2)*$K$77+2*$K$76,$C32*$K$76),2)</f>
        <v>51.48</v>
      </c>
      <c r="X32" s="36">
        <f t="shared" si="14"/>
        <v>58.025300000000001</v>
      </c>
      <c r="Y32" s="36">
        <f t="shared" si="15"/>
        <v>109.50530000000001</v>
      </c>
      <c r="Z32" s="112"/>
      <c r="AA32" s="36">
        <f t="shared" si="16"/>
        <v>-9.0000000000003411E-2</v>
      </c>
      <c r="AB32" s="107">
        <f t="shared" si="17"/>
        <v>-8.2120309903803727E-4</v>
      </c>
      <c r="AC32" s="81"/>
      <c r="AD32" s="109"/>
    </row>
    <row r="33" spans="1:30" ht="14" x14ac:dyDescent="0.3">
      <c r="A33" s="67">
        <f t="shared" si="0"/>
        <v>33</v>
      </c>
      <c r="B33" s="102"/>
      <c r="C33" s="105">
        <v>2</v>
      </c>
      <c r="D33" s="106">
        <f t="shared" si="28"/>
        <v>830</v>
      </c>
      <c r="E33" s="36">
        <f t="shared" si="29"/>
        <v>55.32</v>
      </c>
      <c r="F33" s="36">
        <f t="shared" si="18"/>
        <v>116.0506</v>
      </c>
      <c r="G33" s="36">
        <f t="shared" ref="G33:G38" si="32">SUM(E33:F33)</f>
        <v>171.3706</v>
      </c>
      <c r="H33" s="111"/>
      <c r="I33" s="36">
        <f t="shared" ref="I33:I38" si="33">ROUND($I$75+$I$78*$D33+IF($C33&gt;2,($C33-2)*$I$77+2*$I$76,$C33*$I$76),2)</f>
        <v>70.69</v>
      </c>
      <c r="J33" s="36">
        <f t="shared" si="19"/>
        <v>116.0506</v>
      </c>
      <c r="K33" s="36">
        <f t="shared" ref="K33:K38" si="34">SUM(I33:J33)</f>
        <v>186.7406</v>
      </c>
      <c r="L33" s="109"/>
      <c r="M33" s="36">
        <f t="shared" si="30"/>
        <v>15.370000000000005</v>
      </c>
      <c r="N33" s="107">
        <f t="shared" si="3"/>
        <v>8.9688663049554626E-2</v>
      </c>
      <c r="O33" s="36"/>
      <c r="P33" s="36">
        <f t="shared" si="31"/>
        <v>73.14</v>
      </c>
      <c r="Q33" s="36">
        <f>($J$79*$D33)</f>
        <v>116.0506</v>
      </c>
      <c r="R33" s="36">
        <f t="shared" si="10"/>
        <v>189.19060000000002</v>
      </c>
      <c r="S33" s="36"/>
      <c r="T33" s="36">
        <f t="shared" si="11"/>
        <v>2.4500000000000171</v>
      </c>
      <c r="U33" s="107">
        <f t="shared" si="12"/>
        <v>1.3119803620637489E-2</v>
      </c>
      <c r="V33" s="36"/>
      <c r="W33" s="36">
        <f t="shared" ref="W33:W38" si="35">ROUND($K$75+$K$78*$D33+IF($C33&gt;2,($C33-2)*$K$77+2*$K$76,$C33*$K$76),2)</f>
        <v>72.97</v>
      </c>
      <c r="X33" s="36">
        <f t="shared" si="14"/>
        <v>116.0506</v>
      </c>
      <c r="Y33" s="36">
        <f t="shared" si="15"/>
        <v>189.0206</v>
      </c>
      <c r="Z33" s="112"/>
      <c r="AA33" s="36">
        <f t="shared" si="16"/>
        <v>-0.17000000000001592</v>
      </c>
      <c r="AB33" s="107">
        <f t="shared" si="17"/>
        <v>-8.9856472784597069E-4</v>
      </c>
      <c r="AC33" s="81"/>
      <c r="AD33" s="109"/>
    </row>
    <row r="34" spans="1:30" ht="14" x14ac:dyDescent="0.3">
      <c r="A34" s="67">
        <f t="shared" si="0"/>
        <v>34</v>
      </c>
      <c r="B34" s="102"/>
      <c r="C34" s="105">
        <v>3</v>
      </c>
      <c r="D34" s="106">
        <f t="shared" si="28"/>
        <v>1245</v>
      </c>
      <c r="E34" s="36">
        <f t="shared" si="29"/>
        <v>91.1</v>
      </c>
      <c r="F34" s="36">
        <f>($G$79*$D34)</f>
        <v>174.07589999999999</v>
      </c>
      <c r="G34" s="36">
        <f t="shared" si="32"/>
        <v>265.17589999999996</v>
      </c>
      <c r="H34" s="111"/>
      <c r="I34" s="36">
        <f t="shared" si="33"/>
        <v>114.15</v>
      </c>
      <c r="J34" s="36">
        <f t="shared" si="19"/>
        <v>174.07589999999999</v>
      </c>
      <c r="K34" s="36">
        <f t="shared" si="34"/>
        <v>288.22590000000002</v>
      </c>
      <c r="L34" s="109"/>
      <c r="M34" s="36">
        <f t="shared" si="30"/>
        <v>23.050000000000068</v>
      </c>
      <c r="N34" s="107">
        <f t="shared" si="3"/>
        <v>8.6923434595678084E-2</v>
      </c>
      <c r="O34" s="36"/>
      <c r="P34" s="36">
        <f t="shared" si="31"/>
        <v>117.82</v>
      </c>
      <c r="Q34" s="36">
        <f t="shared" si="9"/>
        <v>174.07589999999999</v>
      </c>
      <c r="R34" s="36">
        <f t="shared" si="10"/>
        <v>291.89589999999998</v>
      </c>
      <c r="S34" s="36"/>
      <c r="T34" s="36">
        <f t="shared" si="11"/>
        <v>3.6699999999999591</v>
      </c>
      <c r="U34" s="107">
        <f t="shared" si="12"/>
        <v>1.2733068055299536E-2</v>
      </c>
      <c r="V34" s="36"/>
      <c r="W34" s="36">
        <f t="shared" si="35"/>
        <v>117.57</v>
      </c>
      <c r="X34" s="36">
        <f t="shared" si="14"/>
        <v>174.07589999999999</v>
      </c>
      <c r="Y34" s="36">
        <f t="shared" si="15"/>
        <v>291.64589999999998</v>
      </c>
      <c r="Z34" s="112"/>
      <c r="AA34" s="36">
        <f t="shared" si="16"/>
        <v>-0.25</v>
      </c>
      <c r="AB34" s="107">
        <f t="shared" si="17"/>
        <v>-8.5646972088336982E-4</v>
      </c>
      <c r="AC34" s="81"/>
      <c r="AD34" s="109"/>
    </row>
    <row r="35" spans="1:30" ht="14" x14ac:dyDescent="0.3">
      <c r="A35" s="67">
        <f t="shared" si="0"/>
        <v>35</v>
      </c>
      <c r="B35" s="102"/>
      <c r="C35" s="105">
        <v>6</v>
      </c>
      <c r="D35" s="106">
        <f t="shared" si="28"/>
        <v>2490</v>
      </c>
      <c r="E35" s="36">
        <f t="shared" si="29"/>
        <v>198.45</v>
      </c>
      <c r="F35" s="36">
        <f t="shared" si="18"/>
        <v>348.15179999999998</v>
      </c>
      <c r="G35" s="36">
        <f t="shared" si="32"/>
        <v>546.60179999999991</v>
      </c>
      <c r="H35" s="111"/>
      <c r="I35" s="36">
        <f t="shared" si="33"/>
        <v>244.54</v>
      </c>
      <c r="J35" s="36">
        <f t="shared" si="19"/>
        <v>348.15179999999998</v>
      </c>
      <c r="K35" s="36">
        <f t="shared" si="34"/>
        <v>592.69179999999994</v>
      </c>
      <c r="L35" s="109"/>
      <c r="M35" s="36">
        <f t="shared" si="30"/>
        <v>46.090000000000032</v>
      </c>
      <c r="N35" s="107">
        <f t="shared" si="3"/>
        <v>8.4320981013966734E-2</v>
      </c>
      <c r="O35" s="36"/>
      <c r="P35" s="36">
        <f t="shared" si="31"/>
        <v>251.89</v>
      </c>
      <c r="Q35" s="36">
        <f t="shared" si="9"/>
        <v>348.15179999999998</v>
      </c>
      <c r="R35" s="36">
        <f t="shared" si="10"/>
        <v>600.04179999999997</v>
      </c>
      <c r="S35" s="36"/>
      <c r="T35" s="36">
        <f t="shared" si="11"/>
        <v>7.3500000000000227</v>
      </c>
      <c r="U35" s="107">
        <f t="shared" si="12"/>
        <v>1.2401048909399495E-2</v>
      </c>
      <c r="V35" s="36"/>
      <c r="W35" s="36">
        <f t="shared" si="35"/>
        <v>251.39</v>
      </c>
      <c r="X35" s="36">
        <f t="shared" si="14"/>
        <v>348.15179999999998</v>
      </c>
      <c r="Y35" s="36">
        <f t="shared" si="15"/>
        <v>599.54179999999997</v>
      </c>
      <c r="Z35" s="112"/>
      <c r="AA35" s="36">
        <f t="shared" si="16"/>
        <v>-0.5</v>
      </c>
      <c r="AB35" s="107">
        <f t="shared" si="17"/>
        <v>-8.3327528182203312E-4</v>
      </c>
      <c r="AC35" s="81"/>
      <c r="AD35" s="109"/>
    </row>
    <row r="36" spans="1:30" ht="14" x14ac:dyDescent="0.3">
      <c r="A36" s="67">
        <f t="shared" si="0"/>
        <v>36</v>
      </c>
      <c r="B36" s="102"/>
      <c r="C36" s="105">
        <v>15</v>
      </c>
      <c r="D36" s="106">
        <f t="shared" si="28"/>
        <v>6225</v>
      </c>
      <c r="E36" s="36">
        <f t="shared" si="29"/>
        <v>520.48</v>
      </c>
      <c r="F36" s="36">
        <f t="shared" si="18"/>
        <v>870.37950000000001</v>
      </c>
      <c r="G36" s="36">
        <f t="shared" si="32"/>
        <v>1390.8595</v>
      </c>
      <c r="H36" s="111"/>
      <c r="I36" s="36">
        <f t="shared" si="33"/>
        <v>635.71</v>
      </c>
      <c r="J36" s="36">
        <f>($I$79*$D36)</f>
        <v>870.37950000000001</v>
      </c>
      <c r="K36" s="36">
        <f t="shared" si="34"/>
        <v>1506.0895</v>
      </c>
      <c r="L36" s="109"/>
      <c r="M36" s="36">
        <f t="shared" si="30"/>
        <v>115.23000000000002</v>
      </c>
      <c r="N36" s="107">
        <f t="shared" si="3"/>
        <v>8.2848051870084663E-2</v>
      </c>
      <c r="O36" s="36"/>
      <c r="P36" s="36">
        <f t="shared" si="31"/>
        <v>654.07000000000005</v>
      </c>
      <c r="Q36" s="36">
        <f t="shared" si="9"/>
        <v>870.37950000000001</v>
      </c>
      <c r="R36" s="36">
        <f t="shared" si="10"/>
        <v>1524.4495000000002</v>
      </c>
      <c r="S36" s="36"/>
      <c r="T36" s="36">
        <f t="shared" si="11"/>
        <v>18.360000000000127</v>
      </c>
      <c r="U36" s="107">
        <f t="shared" si="12"/>
        <v>1.2190510590506159E-2</v>
      </c>
      <c r="V36" s="36"/>
      <c r="W36" s="36">
        <f t="shared" si="35"/>
        <v>652.83000000000004</v>
      </c>
      <c r="X36" s="36">
        <f>($K$79*$D36)</f>
        <v>870.37950000000001</v>
      </c>
      <c r="Y36" s="36">
        <f t="shared" si="15"/>
        <v>1523.2094999999999</v>
      </c>
      <c r="Z36" s="112"/>
      <c r="AA36" s="36">
        <f t="shared" si="16"/>
        <v>-1.2400000000002365</v>
      </c>
      <c r="AB36" s="107">
        <f t="shared" si="17"/>
        <v>-8.1340838118956142E-4</v>
      </c>
      <c r="AC36" s="81"/>
      <c r="AD36" s="109"/>
    </row>
    <row r="37" spans="1:30" ht="14" x14ac:dyDescent="0.3">
      <c r="A37" s="67">
        <f t="shared" si="0"/>
        <v>37</v>
      </c>
      <c r="B37" s="102"/>
      <c r="C37" s="105">
        <v>40</v>
      </c>
      <c r="D37" s="106">
        <f>C37*$D$31</f>
        <v>16600</v>
      </c>
      <c r="E37" s="36">
        <f t="shared" si="29"/>
        <v>1415.03</v>
      </c>
      <c r="F37" s="36">
        <f t="shared" si="18"/>
        <v>2321.0120000000002</v>
      </c>
      <c r="G37" s="36">
        <f t="shared" si="32"/>
        <v>3736.0420000000004</v>
      </c>
      <c r="H37" s="111"/>
      <c r="I37" s="36">
        <f t="shared" si="33"/>
        <v>1722.29</v>
      </c>
      <c r="J37" s="36">
        <f>($I$79*$D37)</f>
        <v>2321.0120000000002</v>
      </c>
      <c r="K37" s="36">
        <f t="shared" si="34"/>
        <v>4043.3020000000001</v>
      </c>
      <c r="L37" s="109"/>
      <c r="M37" s="36">
        <f t="shared" si="30"/>
        <v>307.25999999999976</v>
      </c>
      <c r="N37" s="107">
        <f t="shared" si="3"/>
        <v>8.2242116121820835E-2</v>
      </c>
      <c r="O37" s="36"/>
      <c r="P37" s="36">
        <f t="shared" si="31"/>
        <v>1771.26</v>
      </c>
      <c r="Q37" s="36">
        <f>($J$79*$D37)</f>
        <v>2321.0120000000002</v>
      </c>
      <c r="R37" s="36">
        <f t="shared" si="10"/>
        <v>4092.2719999999999</v>
      </c>
      <c r="S37" s="36"/>
      <c r="T37" s="36">
        <f t="shared" si="11"/>
        <v>48.9699999999998</v>
      </c>
      <c r="U37" s="107">
        <f t="shared" si="12"/>
        <v>1.2111388167393827E-2</v>
      </c>
      <c r="V37" s="36"/>
      <c r="W37" s="36">
        <f t="shared" si="35"/>
        <v>1767.94</v>
      </c>
      <c r="X37" s="36">
        <f t="shared" si="14"/>
        <v>2321.0120000000002</v>
      </c>
      <c r="Y37" s="36">
        <f t="shared" si="15"/>
        <v>4088.9520000000002</v>
      </c>
      <c r="Z37" s="112"/>
      <c r="AA37" s="36">
        <f t="shared" si="16"/>
        <v>-3.319999999999709</v>
      </c>
      <c r="AB37" s="107">
        <f t="shared" si="17"/>
        <v>-8.1128527136019042E-4</v>
      </c>
      <c r="AC37" s="81"/>
      <c r="AD37" s="109"/>
    </row>
    <row r="38" spans="1:30" ht="14" x14ac:dyDescent="0.3">
      <c r="A38" s="67">
        <f t="shared" si="0"/>
        <v>38</v>
      </c>
      <c r="B38" s="71" t="s">
        <v>52</v>
      </c>
      <c r="C38" s="113">
        <v>11</v>
      </c>
      <c r="D38" s="106">
        <f t="shared" si="28"/>
        <v>4565</v>
      </c>
      <c r="E38" s="36">
        <f t="shared" si="29"/>
        <v>377.36</v>
      </c>
      <c r="F38" s="36">
        <f>($G$79*$D38)</f>
        <v>638.27829999999994</v>
      </c>
      <c r="G38" s="36">
        <f t="shared" si="32"/>
        <v>1015.6383</v>
      </c>
      <c r="H38" s="111"/>
      <c r="I38" s="36">
        <f t="shared" si="33"/>
        <v>461.86</v>
      </c>
      <c r="J38" s="36">
        <f t="shared" si="19"/>
        <v>638.27829999999994</v>
      </c>
      <c r="K38" s="36">
        <f t="shared" si="34"/>
        <v>1100.1383000000001</v>
      </c>
      <c r="L38" s="109"/>
      <c r="M38" s="36">
        <f t="shared" si="30"/>
        <v>84.500000000000114</v>
      </c>
      <c r="N38" s="107">
        <f t="shared" si="3"/>
        <v>8.3198910478267815E-2</v>
      </c>
      <c r="O38" s="36"/>
      <c r="P38" s="36">
        <f t="shared" si="31"/>
        <v>475.32</v>
      </c>
      <c r="Q38" s="36">
        <f t="shared" si="9"/>
        <v>638.27829999999994</v>
      </c>
      <c r="R38" s="36">
        <f t="shared" si="10"/>
        <v>1113.5982999999999</v>
      </c>
      <c r="S38" s="36"/>
      <c r="T38" s="36">
        <f t="shared" si="11"/>
        <v>13.459999999999809</v>
      </c>
      <c r="U38" s="107">
        <f t="shared" si="12"/>
        <v>1.2234825385135494E-2</v>
      </c>
      <c r="V38" s="36"/>
      <c r="W38" s="36">
        <f t="shared" si="35"/>
        <v>474.41</v>
      </c>
      <c r="X38" s="36">
        <f>($K$79*$D38)</f>
        <v>638.27829999999994</v>
      </c>
      <c r="Y38" s="36">
        <f t="shared" si="15"/>
        <v>1112.6883</v>
      </c>
      <c r="Z38" s="112"/>
      <c r="AA38" s="36">
        <f t="shared" si="16"/>
        <v>-0.90999999999985448</v>
      </c>
      <c r="AB38" s="107">
        <f t="shared" si="17"/>
        <v>-8.1717078770671126E-4</v>
      </c>
      <c r="AC38" s="81"/>
      <c r="AD38" s="109"/>
    </row>
    <row r="39" spans="1:30" ht="14" x14ac:dyDescent="0.3">
      <c r="A39" s="67">
        <f t="shared" si="0"/>
        <v>39</v>
      </c>
      <c r="B39" s="71"/>
      <c r="C39" s="110"/>
      <c r="D39" s="110"/>
      <c r="E39" s="36"/>
      <c r="F39" s="36"/>
      <c r="G39" s="36"/>
      <c r="H39" s="114"/>
      <c r="I39" s="36"/>
      <c r="J39" s="36"/>
      <c r="K39" s="36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07"/>
      <c r="AD39" s="109"/>
    </row>
    <row r="40" spans="1:30" ht="14" x14ac:dyDescent="0.3">
      <c r="A40" s="67">
        <f t="shared" si="0"/>
        <v>40</v>
      </c>
      <c r="B40" s="102"/>
      <c r="C40" s="101"/>
      <c r="D40" s="110"/>
      <c r="E40" s="36"/>
      <c r="F40" s="36"/>
      <c r="G40" s="36"/>
      <c r="H40" s="114"/>
      <c r="I40" s="36"/>
      <c r="J40" s="36"/>
      <c r="K40" s="36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07"/>
    </row>
    <row r="41" spans="1:30" ht="14" x14ac:dyDescent="0.3">
      <c r="A41" s="67">
        <f t="shared" si="0"/>
        <v>41</v>
      </c>
      <c r="B41" s="102"/>
      <c r="C41" s="101" t="s">
        <v>53</v>
      </c>
      <c r="D41" s="101"/>
      <c r="E41" s="101"/>
      <c r="G41" s="45">
        <f>'EMA R1'!H28</f>
        <v>2024</v>
      </c>
      <c r="I41" s="45">
        <f>'EMA R1'!I28</f>
        <v>2025</v>
      </c>
      <c r="J41" s="45">
        <f>'EMA R1'!J28</f>
        <v>2026</v>
      </c>
      <c r="K41" s="45">
        <f>'EMA R1'!L28</f>
        <v>2027</v>
      </c>
      <c r="M41" s="45" t="str">
        <f>'EMA R1'!M28</f>
        <v>2025 v 2024</v>
      </c>
      <c r="N41" s="45" t="str">
        <f>'EMA R1'!O28</f>
        <v>2026 v 2025</v>
      </c>
      <c r="P41" s="45" t="str">
        <f>'EMA R1'!P28</f>
        <v>2027 v 2026</v>
      </c>
    </row>
    <row r="42" spans="1:30" ht="15.5" x14ac:dyDescent="0.45">
      <c r="A42" s="67">
        <f t="shared" si="0"/>
        <v>42</v>
      </c>
      <c r="B42" s="102"/>
      <c r="C42" s="23" t="s">
        <v>53</v>
      </c>
      <c r="D42" s="23"/>
      <c r="E42" s="101"/>
      <c r="G42" s="47" t="str">
        <f>+'BOS G1ND'!H27</f>
        <v>Rates</v>
      </c>
      <c r="H42" s="116"/>
      <c r="I42" s="47" t="s">
        <v>57</v>
      </c>
      <c r="J42" s="47" t="s">
        <v>57</v>
      </c>
      <c r="K42" s="47" t="s">
        <v>57</v>
      </c>
      <c r="L42" s="37"/>
      <c r="M42" s="48" t="s">
        <v>51</v>
      </c>
      <c r="N42" s="48" t="s">
        <v>51</v>
      </c>
      <c r="O42" s="22"/>
      <c r="P42" s="48" t="s">
        <v>51</v>
      </c>
    </row>
    <row r="43" spans="1:30" ht="14" x14ac:dyDescent="0.3">
      <c r="A43" s="67">
        <f t="shared" si="0"/>
        <v>43</v>
      </c>
      <c r="B43" s="102"/>
      <c r="C43" s="28" t="s">
        <v>58</v>
      </c>
      <c r="D43" s="28"/>
      <c r="E43" s="23"/>
      <c r="G43" s="88">
        <v>30</v>
      </c>
      <c r="H43" s="103"/>
      <c r="I43" s="88">
        <f>+G43</f>
        <v>30</v>
      </c>
      <c r="J43" s="88">
        <f>G43</f>
        <v>30</v>
      </c>
      <c r="K43" s="88">
        <f>J43</f>
        <v>30</v>
      </c>
      <c r="L43" s="37"/>
      <c r="M43" s="50">
        <f t="shared" ref="M43:M73" si="36">+I43-G43</f>
        <v>0</v>
      </c>
      <c r="N43" s="50">
        <f>+J43-I43</f>
        <v>0</v>
      </c>
      <c r="O43" s="50"/>
      <c r="P43" s="50">
        <f>+K43-J43</f>
        <v>0</v>
      </c>
      <c r="Q43" s="89" t="s">
        <v>59</v>
      </c>
    </row>
    <row r="44" spans="1:30" ht="14" x14ac:dyDescent="0.3">
      <c r="A44" s="67">
        <f t="shared" si="0"/>
        <v>44</v>
      </c>
      <c r="B44" s="102"/>
      <c r="C44" s="101" t="s">
        <v>127</v>
      </c>
      <c r="D44" s="101"/>
      <c r="E44" s="23"/>
      <c r="G44" s="88">
        <v>0</v>
      </c>
      <c r="H44" s="103"/>
      <c r="I44" s="88">
        <f t="shared" ref="I44:I69" si="37">+G44</f>
        <v>0</v>
      </c>
      <c r="J44" s="88">
        <f t="shared" ref="J44:J73" si="38">G44</f>
        <v>0</v>
      </c>
      <c r="K44" s="88">
        <f t="shared" ref="K44:K73" si="39">J44</f>
        <v>0</v>
      </c>
      <c r="L44" s="37"/>
      <c r="M44" s="50">
        <f t="shared" si="36"/>
        <v>0</v>
      </c>
      <c r="N44" s="50">
        <f t="shared" ref="N44:N73" si="40">+J44-I44</f>
        <v>0</v>
      </c>
      <c r="O44" s="50"/>
      <c r="P44" s="50">
        <f t="shared" ref="P44:P73" si="41">+K44-J44</f>
        <v>0</v>
      </c>
      <c r="Q44" s="89" t="s">
        <v>59</v>
      </c>
    </row>
    <row r="45" spans="1:30" ht="14" x14ac:dyDescent="0.3">
      <c r="A45" s="67">
        <f t="shared" si="0"/>
        <v>45</v>
      </c>
      <c r="B45" s="102"/>
      <c r="C45" s="117" t="s">
        <v>128</v>
      </c>
      <c r="D45" s="117"/>
      <c r="E45" s="23"/>
      <c r="G45" s="88">
        <v>12.23</v>
      </c>
      <c r="H45" s="103"/>
      <c r="I45" s="88">
        <f t="shared" si="37"/>
        <v>12.23</v>
      </c>
      <c r="J45" s="88">
        <f t="shared" si="38"/>
        <v>12.23</v>
      </c>
      <c r="K45" s="88">
        <f t="shared" si="39"/>
        <v>12.23</v>
      </c>
      <c r="L45" s="37"/>
      <c r="M45" s="50">
        <f t="shared" si="36"/>
        <v>0</v>
      </c>
      <c r="N45" s="50">
        <f t="shared" si="40"/>
        <v>0</v>
      </c>
      <c r="O45" s="50"/>
      <c r="P45" s="50">
        <f t="shared" si="41"/>
        <v>0</v>
      </c>
      <c r="Q45" s="89" t="s">
        <v>59</v>
      </c>
    </row>
    <row r="46" spans="1:30" ht="14" x14ac:dyDescent="0.3">
      <c r="A46" s="67">
        <f t="shared" si="0"/>
        <v>46</v>
      </c>
      <c r="B46" s="102"/>
      <c r="C46" s="28" t="s">
        <v>60</v>
      </c>
      <c r="D46" s="28"/>
      <c r="E46" s="23"/>
      <c r="G46" s="91">
        <v>3.6099999999999999E-3</v>
      </c>
      <c r="H46" s="118"/>
      <c r="I46" s="91">
        <f t="shared" si="37"/>
        <v>3.6099999999999999E-3</v>
      </c>
      <c r="J46" s="91">
        <f t="shared" si="38"/>
        <v>3.6099999999999999E-3</v>
      </c>
      <c r="K46" s="91">
        <f t="shared" si="39"/>
        <v>3.6099999999999999E-3</v>
      </c>
      <c r="L46" s="37"/>
      <c r="M46" s="54">
        <f t="shared" si="36"/>
        <v>0</v>
      </c>
      <c r="N46" s="54">
        <f t="shared" si="40"/>
        <v>0</v>
      </c>
      <c r="O46" s="54"/>
      <c r="P46" s="54">
        <f t="shared" si="41"/>
        <v>0</v>
      </c>
      <c r="Q46" s="89" t="s">
        <v>59</v>
      </c>
    </row>
    <row r="47" spans="1:30" ht="14" x14ac:dyDescent="0.3">
      <c r="A47" s="67">
        <f t="shared" si="0"/>
        <v>47</v>
      </c>
      <c r="B47" s="102"/>
      <c r="C47" s="44" t="str">
        <f>+'BOS G1ND'!C30</f>
        <v>Exogenous Cost Adjustment</v>
      </c>
      <c r="D47" s="28"/>
      <c r="E47" s="119"/>
      <c r="G47" s="91">
        <v>7.5000000000000002E-4</v>
      </c>
      <c r="H47" s="92"/>
      <c r="I47" s="91">
        <f t="shared" si="37"/>
        <v>7.5000000000000002E-4</v>
      </c>
      <c r="J47" s="91">
        <f t="shared" si="38"/>
        <v>7.5000000000000002E-4</v>
      </c>
      <c r="K47" s="91">
        <f t="shared" si="39"/>
        <v>7.5000000000000002E-4</v>
      </c>
      <c r="L47" s="37"/>
      <c r="M47" s="54">
        <f t="shared" si="36"/>
        <v>0</v>
      </c>
      <c r="N47" s="54">
        <f t="shared" si="40"/>
        <v>0</v>
      </c>
      <c r="O47" s="54"/>
      <c r="P47" s="54">
        <f t="shared" si="41"/>
        <v>0</v>
      </c>
      <c r="Q47" s="89" t="str">
        <f>+'BOS G1ND'!Q30</f>
        <v>ECA</v>
      </c>
    </row>
    <row r="48" spans="1:30" ht="14" x14ac:dyDescent="0.3">
      <c r="A48" s="67">
        <f t="shared" si="0"/>
        <v>48</v>
      </c>
      <c r="B48" s="102"/>
      <c r="C48" s="44" t="str">
        <f>+'BOS G1ND'!C31</f>
        <v>Revenue Decoupling</v>
      </c>
      <c r="D48" s="28"/>
      <c r="E48" s="23"/>
      <c r="G48" s="91">
        <v>4.0000000000000003E-5</v>
      </c>
      <c r="H48" s="92"/>
      <c r="I48" s="91">
        <f t="shared" si="37"/>
        <v>4.0000000000000003E-5</v>
      </c>
      <c r="J48" s="91">
        <f t="shared" si="38"/>
        <v>4.0000000000000003E-5</v>
      </c>
      <c r="K48" s="91">
        <f t="shared" si="39"/>
        <v>4.0000000000000003E-5</v>
      </c>
      <c r="L48" s="37"/>
      <c r="M48" s="54">
        <f t="shared" si="36"/>
        <v>0</v>
      </c>
      <c r="N48" s="54">
        <f t="shared" si="40"/>
        <v>0</v>
      </c>
      <c r="O48" s="54"/>
      <c r="P48" s="54">
        <f t="shared" si="41"/>
        <v>0</v>
      </c>
      <c r="Q48" s="89" t="str">
        <f>+'BOS G1ND'!Q31</f>
        <v>RDAF</v>
      </c>
    </row>
    <row r="49" spans="1:17" ht="14" x14ac:dyDescent="0.3">
      <c r="A49" s="67">
        <f t="shared" si="0"/>
        <v>49</v>
      </c>
      <c r="B49" s="102"/>
      <c r="C49" s="44" t="str">
        <f>+'BOS G1ND'!C32</f>
        <v>Distributed Solar Charge</v>
      </c>
      <c r="D49" s="28"/>
      <c r="E49" s="23"/>
      <c r="G49" s="91">
        <v>5.8999999999999999E-3</v>
      </c>
      <c r="H49" s="92"/>
      <c r="I49" s="91">
        <f t="shared" si="37"/>
        <v>5.8999999999999999E-3</v>
      </c>
      <c r="J49" s="91">
        <f t="shared" si="38"/>
        <v>5.8999999999999999E-3</v>
      </c>
      <c r="K49" s="91">
        <f t="shared" si="39"/>
        <v>5.8999999999999999E-3</v>
      </c>
      <c r="L49" s="37"/>
      <c r="M49" s="54">
        <f t="shared" si="36"/>
        <v>0</v>
      </c>
      <c r="N49" s="54">
        <f t="shared" si="40"/>
        <v>0</v>
      </c>
      <c r="O49" s="54"/>
      <c r="P49" s="54">
        <f t="shared" si="41"/>
        <v>0</v>
      </c>
      <c r="Q49" s="89" t="str">
        <f>+'BOS G1ND'!Q32</f>
        <v>SMART</v>
      </c>
    </row>
    <row r="50" spans="1:17" ht="14" x14ac:dyDescent="0.3">
      <c r="A50" s="67">
        <f t="shared" si="0"/>
        <v>50</v>
      </c>
      <c r="B50" s="102"/>
      <c r="C50" s="44" t="str">
        <f>+'BOS G1ND'!C33</f>
        <v>Residential Assistance Adjustment Factor</v>
      </c>
      <c r="D50" s="28"/>
      <c r="E50" s="23"/>
      <c r="G50" s="53">
        <v>6.0200000000000002E-3</v>
      </c>
      <c r="H50" s="92"/>
      <c r="I50" s="53">
        <f t="shared" si="37"/>
        <v>6.0200000000000002E-3</v>
      </c>
      <c r="J50" s="53">
        <f t="shared" si="38"/>
        <v>6.0200000000000002E-3</v>
      </c>
      <c r="K50" s="53">
        <f t="shared" si="39"/>
        <v>6.0200000000000002E-3</v>
      </c>
      <c r="L50" s="37"/>
      <c r="M50" s="54">
        <f t="shared" si="36"/>
        <v>0</v>
      </c>
      <c r="N50" s="54">
        <f t="shared" si="40"/>
        <v>0</v>
      </c>
      <c r="O50" s="54"/>
      <c r="P50" s="54">
        <f t="shared" si="41"/>
        <v>0</v>
      </c>
      <c r="Q50" s="89" t="str">
        <f>+'BOS G1ND'!Q33</f>
        <v>RAAF</v>
      </c>
    </row>
    <row r="51" spans="1:17" ht="14" x14ac:dyDescent="0.3">
      <c r="A51" s="67">
        <f t="shared" si="0"/>
        <v>51</v>
      </c>
      <c r="B51" s="102"/>
      <c r="C51" s="44" t="str">
        <f>+'BOS G1ND'!C34</f>
        <v>Pension Adjustment Factor</v>
      </c>
      <c r="D51" s="28"/>
      <c r="E51" s="119"/>
      <c r="G51" s="53">
        <v>5.8E-4</v>
      </c>
      <c r="H51" s="92"/>
      <c r="I51" s="53">
        <f t="shared" si="37"/>
        <v>5.8E-4</v>
      </c>
      <c r="J51" s="53">
        <f t="shared" si="38"/>
        <v>5.8E-4</v>
      </c>
      <c r="K51" s="53">
        <f t="shared" si="39"/>
        <v>5.8E-4</v>
      </c>
      <c r="L51" s="37"/>
      <c r="M51" s="54">
        <f t="shared" si="36"/>
        <v>0</v>
      </c>
      <c r="N51" s="54">
        <f t="shared" si="40"/>
        <v>0</v>
      </c>
      <c r="O51" s="54"/>
      <c r="P51" s="54">
        <f t="shared" si="41"/>
        <v>0</v>
      </c>
      <c r="Q51" s="89" t="str">
        <f>+'BOS G1ND'!Q34</f>
        <v>PAF</v>
      </c>
    </row>
    <row r="52" spans="1:17" ht="14" x14ac:dyDescent="0.3">
      <c r="A52" s="67">
        <f t="shared" si="0"/>
        <v>52</v>
      </c>
      <c r="B52" s="102"/>
      <c r="C52" s="44" t="str">
        <f>+'BOS G1ND'!C35</f>
        <v>Net Metering Recovery Surcharge</v>
      </c>
      <c r="D52" s="28"/>
      <c r="E52" s="23"/>
      <c r="G52" s="91">
        <v>1.197E-2</v>
      </c>
      <c r="H52" s="92"/>
      <c r="I52" s="91">
        <f t="shared" si="37"/>
        <v>1.197E-2</v>
      </c>
      <c r="J52" s="91">
        <f t="shared" si="38"/>
        <v>1.197E-2</v>
      </c>
      <c r="K52" s="91">
        <f t="shared" si="39"/>
        <v>1.197E-2</v>
      </c>
      <c r="L52" s="37"/>
      <c r="M52" s="54">
        <f t="shared" si="36"/>
        <v>0</v>
      </c>
      <c r="N52" s="54">
        <f t="shared" si="40"/>
        <v>0</v>
      </c>
      <c r="O52" s="54"/>
      <c r="P52" s="54">
        <f t="shared" si="41"/>
        <v>0</v>
      </c>
      <c r="Q52" s="89" t="str">
        <f>+'BOS G1ND'!Q35</f>
        <v>NMRS</v>
      </c>
    </row>
    <row r="53" spans="1:17" ht="14" x14ac:dyDescent="0.3">
      <c r="A53" s="67">
        <f t="shared" si="0"/>
        <v>53</v>
      </c>
      <c r="B53" s="102"/>
      <c r="C53" s="44" t="str">
        <f>+'BOS G1ND'!C36</f>
        <v>Long Term Renewable Contract Adjustment</v>
      </c>
      <c r="D53" s="28"/>
      <c r="E53" s="23"/>
      <c r="G53" s="53">
        <v>-1.9300000000000001E-3</v>
      </c>
      <c r="H53" s="92"/>
      <c r="I53" s="53">
        <f t="shared" si="37"/>
        <v>-1.9300000000000001E-3</v>
      </c>
      <c r="J53" s="53">
        <f t="shared" si="38"/>
        <v>-1.9300000000000001E-3</v>
      </c>
      <c r="K53" s="53">
        <f t="shared" si="39"/>
        <v>-1.9300000000000001E-3</v>
      </c>
      <c r="L53" s="37"/>
      <c r="M53" s="54">
        <f t="shared" si="36"/>
        <v>0</v>
      </c>
      <c r="N53" s="54">
        <f t="shared" si="40"/>
        <v>0</v>
      </c>
      <c r="O53" s="54"/>
      <c r="P53" s="54">
        <f t="shared" si="41"/>
        <v>0</v>
      </c>
      <c r="Q53" s="89" t="str">
        <f>+'BOS G1ND'!Q36</f>
        <v>LTRCA</v>
      </c>
    </row>
    <row r="54" spans="1:17" ht="14" x14ac:dyDescent="0.3">
      <c r="A54" s="67">
        <f t="shared" si="0"/>
        <v>54</v>
      </c>
      <c r="B54" s="102"/>
      <c r="C54" s="44" t="str">
        <f>+'BOS G1ND'!C37</f>
        <v>AG Consulting Expense</v>
      </c>
      <c r="D54" s="28"/>
      <c r="E54" s="23"/>
      <c r="G54" s="53">
        <v>4.0000000000000003E-5</v>
      </c>
      <c r="H54" s="92"/>
      <c r="I54" s="53">
        <f t="shared" si="37"/>
        <v>4.0000000000000003E-5</v>
      </c>
      <c r="J54" s="53">
        <f t="shared" si="38"/>
        <v>4.0000000000000003E-5</v>
      </c>
      <c r="K54" s="53">
        <f t="shared" si="39"/>
        <v>4.0000000000000003E-5</v>
      </c>
      <c r="L54" s="37"/>
      <c r="M54" s="54">
        <f t="shared" si="36"/>
        <v>0</v>
      </c>
      <c r="N54" s="54">
        <f t="shared" si="40"/>
        <v>0</v>
      </c>
      <c r="O54" s="54"/>
      <c r="P54" s="54">
        <f t="shared" si="41"/>
        <v>0</v>
      </c>
      <c r="Q54" s="89" t="str">
        <f>+'BOS G1ND'!Q37</f>
        <v>AGCE</v>
      </c>
    </row>
    <row r="55" spans="1:17" ht="14" x14ac:dyDescent="0.3">
      <c r="A55" s="67">
        <f t="shared" si="0"/>
        <v>55</v>
      </c>
      <c r="B55" s="102"/>
      <c r="C55" s="44" t="str">
        <f>+'BOS G1ND'!C38</f>
        <v>Storm Cost Recovery Adjustment Factor</v>
      </c>
      <c r="D55" s="28"/>
      <c r="E55" s="23"/>
      <c r="G55" s="53">
        <v>4.8900000000000002E-3</v>
      </c>
      <c r="H55" s="92"/>
      <c r="I55" s="53">
        <f t="shared" si="37"/>
        <v>4.8900000000000002E-3</v>
      </c>
      <c r="J55" s="53">
        <f t="shared" si="38"/>
        <v>4.8900000000000002E-3</v>
      </c>
      <c r="K55" s="53">
        <f t="shared" si="39"/>
        <v>4.8900000000000002E-3</v>
      </c>
      <c r="L55" s="37"/>
      <c r="M55" s="54">
        <f t="shared" si="36"/>
        <v>0</v>
      </c>
      <c r="N55" s="54">
        <f t="shared" si="40"/>
        <v>0</v>
      </c>
      <c r="O55" s="54"/>
      <c r="P55" s="54">
        <f t="shared" si="41"/>
        <v>0</v>
      </c>
      <c r="Q55" s="89" t="str">
        <f>+'BOS G1ND'!Q38</f>
        <v>SCRA</v>
      </c>
    </row>
    <row r="56" spans="1:17" ht="14" x14ac:dyDescent="0.3">
      <c r="A56" s="67">
        <f t="shared" si="0"/>
        <v>56</v>
      </c>
      <c r="B56" s="102"/>
      <c r="C56" s="44" t="str">
        <f>+'BOS G1ND'!C39</f>
        <v>Storm Reserve Adjustment</v>
      </c>
      <c r="D56" s="28"/>
      <c r="E56" s="23"/>
      <c r="G56" s="53">
        <v>0</v>
      </c>
      <c r="H56" s="92"/>
      <c r="I56" s="53">
        <f t="shared" si="37"/>
        <v>0</v>
      </c>
      <c r="J56" s="53">
        <f t="shared" si="38"/>
        <v>0</v>
      </c>
      <c r="K56" s="53">
        <f t="shared" si="39"/>
        <v>0</v>
      </c>
      <c r="L56" s="37"/>
      <c r="M56" s="54">
        <f t="shared" si="36"/>
        <v>0</v>
      </c>
      <c r="N56" s="54">
        <f t="shared" si="40"/>
        <v>0</v>
      </c>
      <c r="O56" s="54"/>
      <c r="P56" s="54">
        <f t="shared" si="41"/>
        <v>0</v>
      </c>
      <c r="Q56" s="89" t="str">
        <f>+'BOS G1ND'!Q39</f>
        <v>SRA</v>
      </c>
    </row>
    <row r="57" spans="1:17" ht="14" x14ac:dyDescent="0.3">
      <c r="A57" s="67">
        <f t="shared" si="0"/>
        <v>57</v>
      </c>
      <c r="B57" s="102"/>
      <c r="C57" s="44" t="str">
        <f>+'BOS G1ND'!C40</f>
        <v>Basic Service Cost True Up Factor</v>
      </c>
      <c r="D57" s="28"/>
      <c r="E57" s="23"/>
      <c r="G57" s="53">
        <v>-3.4000000000000002E-4</v>
      </c>
      <c r="H57" s="92"/>
      <c r="I57" s="53">
        <f t="shared" si="37"/>
        <v>-3.4000000000000002E-4</v>
      </c>
      <c r="J57" s="53">
        <f t="shared" si="38"/>
        <v>-3.4000000000000002E-4</v>
      </c>
      <c r="K57" s="53">
        <f t="shared" si="39"/>
        <v>-3.4000000000000002E-4</v>
      </c>
      <c r="L57" s="37"/>
      <c r="M57" s="54">
        <f t="shared" si="36"/>
        <v>0</v>
      </c>
      <c r="N57" s="54">
        <f t="shared" si="40"/>
        <v>0</v>
      </c>
      <c r="O57" s="54"/>
      <c r="P57" s="54">
        <f t="shared" si="41"/>
        <v>0</v>
      </c>
      <c r="Q57" s="89" t="str">
        <f>+'BOS G1ND'!Q40</f>
        <v>BSTF</v>
      </c>
    </row>
    <row r="58" spans="1:17" ht="14" x14ac:dyDescent="0.3">
      <c r="A58" s="67">
        <f t="shared" si="0"/>
        <v>58</v>
      </c>
      <c r="B58" s="102"/>
      <c r="C58" s="44" t="str">
        <f>+'BOS G1ND'!C41</f>
        <v>Solar Program Cost Adjustment Factor</v>
      </c>
      <c r="D58" s="28"/>
      <c r="E58" s="23"/>
      <c r="G58" s="53">
        <v>1.0000000000000001E-5</v>
      </c>
      <c r="H58" s="92"/>
      <c r="I58" s="53">
        <f t="shared" si="37"/>
        <v>1.0000000000000001E-5</v>
      </c>
      <c r="J58" s="53">
        <f t="shared" si="38"/>
        <v>1.0000000000000001E-5</v>
      </c>
      <c r="K58" s="53">
        <f t="shared" si="39"/>
        <v>1.0000000000000001E-5</v>
      </c>
      <c r="L58" s="37"/>
      <c r="M58" s="54">
        <f t="shared" si="36"/>
        <v>0</v>
      </c>
      <c r="N58" s="54">
        <f t="shared" si="40"/>
        <v>0</v>
      </c>
      <c r="O58" s="54"/>
      <c r="P58" s="54">
        <f t="shared" si="41"/>
        <v>0</v>
      </c>
      <c r="Q58" s="89" t="str">
        <f>+'BOS G1ND'!Q41</f>
        <v>SPCA</v>
      </c>
    </row>
    <row r="59" spans="1:17" ht="14" x14ac:dyDescent="0.3">
      <c r="A59" s="67">
        <f t="shared" si="0"/>
        <v>59</v>
      </c>
      <c r="B59" s="102"/>
      <c r="C59" s="44" t="str">
        <f>+'BOS G1ND'!C42</f>
        <v>Solar Expansion Cost Recovery Factor</v>
      </c>
      <c r="D59" s="37"/>
      <c r="E59" s="37"/>
      <c r="F59" s="53"/>
      <c r="G59" s="53">
        <v>-3.6999999999999999E-4</v>
      </c>
      <c r="H59" s="92"/>
      <c r="I59" s="53">
        <f t="shared" si="37"/>
        <v>-3.6999999999999999E-4</v>
      </c>
      <c r="J59" s="53">
        <f t="shared" si="38"/>
        <v>-3.6999999999999999E-4</v>
      </c>
      <c r="K59" s="53">
        <f t="shared" si="39"/>
        <v>-3.6999999999999999E-4</v>
      </c>
      <c r="L59" s="37"/>
      <c r="M59" s="54">
        <f t="shared" si="36"/>
        <v>0</v>
      </c>
      <c r="N59" s="54">
        <f t="shared" si="40"/>
        <v>0</v>
      </c>
      <c r="O59" s="54"/>
      <c r="P59" s="54">
        <f t="shared" si="41"/>
        <v>0</v>
      </c>
      <c r="Q59" s="89" t="str">
        <f>+'BOS G1ND'!Q42</f>
        <v>SECRF</v>
      </c>
    </row>
    <row r="60" spans="1:17" ht="14" x14ac:dyDescent="0.3">
      <c r="A60" s="67">
        <f t="shared" si="0"/>
        <v>60</v>
      </c>
      <c r="B60" s="102"/>
      <c r="C60" s="44" t="str">
        <f>+'BOS G1ND'!C43</f>
        <v>Vegetation Management</v>
      </c>
      <c r="D60" s="37"/>
      <c r="E60" s="37"/>
      <c r="F60" s="53"/>
      <c r="G60" s="53">
        <v>1.2999999999999999E-3</v>
      </c>
      <c r="H60" s="92"/>
      <c r="I60" s="53">
        <f t="shared" si="37"/>
        <v>1.2999999999999999E-3</v>
      </c>
      <c r="J60" s="53">
        <f t="shared" si="38"/>
        <v>1.2999999999999999E-3</v>
      </c>
      <c r="K60" s="53">
        <f t="shared" si="39"/>
        <v>1.2999999999999999E-3</v>
      </c>
      <c r="L60" s="37"/>
      <c r="M60" s="54">
        <f t="shared" si="36"/>
        <v>0</v>
      </c>
      <c r="N60" s="54">
        <f t="shared" si="40"/>
        <v>0</v>
      </c>
      <c r="O60" s="54"/>
      <c r="P60" s="54">
        <f t="shared" si="41"/>
        <v>0</v>
      </c>
      <c r="Q60" s="89" t="str">
        <f>+'BOS G1ND'!Q43</f>
        <v>RTWF</v>
      </c>
    </row>
    <row r="61" spans="1:17" ht="14" x14ac:dyDescent="0.3">
      <c r="A61" s="67">
        <f t="shared" si="0"/>
        <v>61</v>
      </c>
      <c r="B61" s="102"/>
      <c r="C61" s="44" t="str">
        <f>+'BOS G1ND'!C44</f>
        <v>Tax Act Credit Factor</v>
      </c>
      <c r="D61" s="28"/>
      <c r="E61" s="120"/>
      <c r="G61" s="53">
        <v>-1.33E-3</v>
      </c>
      <c r="H61" s="92"/>
      <c r="I61" s="53">
        <f t="shared" si="37"/>
        <v>-1.33E-3</v>
      </c>
      <c r="J61" s="53">
        <f t="shared" si="38"/>
        <v>-1.33E-3</v>
      </c>
      <c r="K61" s="53">
        <f t="shared" si="39"/>
        <v>-1.33E-3</v>
      </c>
      <c r="L61" s="37"/>
      <c r="M61" s="54">
        <f t="shared" si="36"/>
        <v>0</v>
      </c>
      <c r="N61" s="54">
        <f t="shared" si="40"/>
        <v>0</v>
      </c>
      <c r="O61" s="54"/>
      <c r="P61" s="54">
        <f t="shared" si="41"/>
        <v>0</v>
      </c>
      <c r="Q61" s="89" t="str">
        <f>+'BOS G1ND'!Q44</f>
        <v>TACF</v>
      </c>
    </row>
    <row r="62" spans="1:17" ht="14" x14ac:dyDescent="0.3">
      <c r="A62" s="67">
        <f t="shared" si="0"/>
        <v>62</v>
      </c>
      <c r="B62" s="102"/>
      <c r="C62" s="44" t="str">
        <f>+'BOS G1ND'!C45</f>
        <v>Grid Modernization</v>
      </c>
      <c r="D62" s="28"/>
      <c r="G62" s="53">
        <v>1.65E-3</v>
      </c>
      <c r="H62" s="92"/>
      <c r="I62" s="53">
        <f t="shared" si="37"/>
        <v>1.65E-3</v>
      </c>
      <c r="J62" s="53">
        <f t="shared" si="38"/>
        <v>1.65E-3</v>
      </c>
      <c r="K62" s="53">
        <f t="shared" si="39"/>
        <v>1.65E-3</v>
      </c>
      <c r="L62" s="37"/>
      <c r="M62" s="54">
        <f t="shared" si="36"/>
        <v>0</v>
      </c>
      <c r="N62" s="54">
        <f t="shared" si="40"/>
        <v>0</v>
      </c>
      <c r="O62" s="54"/>
      <c r="P62" s="54">
        <f t="shared" si="41"/>
        <v>0</v>
      </c>
      <c r="Q62" s="89" t="str">
        <f>+'BOS G1ND'!Q45</f>
        <v>GMOD</v>
      </c>
    </row>
    <row r="63" spans="1:17" ht="14" x14ac:dyDescent="0.3">
      <c r="A63" s="67">
        <f t="shared" si="0"/>
        <v>63</v>
      </c>
      <c r="B63" s="102"/>
      <c r="C63" s="44" t="str">
        <f>+'BOS G1ND'!C46</f>
        <v>Advanced Metering Infrastructure</v>
      </c>
      <c r="D63" s="28"/>
      <c r="G63" s="53">
        <v>2.1900000000000001E-3</v>
      </c>
      <c r="H63" s="92"/>
      <c r="I63" s="53">
        <f t="shared" si="37"/>
        <v>2.1900000000000001E-3</v>
      </c>
      <c r="J63" s="53">
        <f t="shared" si="38"/>
        <v>2.1900000000000001E-3</v>
      </c>
      <c r="K63" s="53">
        <f t="shared" si="39"/>
        <v>2.1900000000000001E-3</v>
      </c>
      <c r="L63" s="37"/>
      <c r="M63" s="54">
        <f t="shared" si="36"/>
        <v>0</v>
      </c>
      <c r="N63" s="54">
        <f t="shared" si="40"/>
        <v>0</v>
      </c>
      <c r="O63" s="54"/>
      <c r="P63" s="54">
        <f t="shared" si="41"/>
        <v>0</v>
      </c>
      <c r="Q63" s="89" t="str">
        <f>+'BOS G1ND'!Q46</f>
        <v>AMIF</v>
      </c>
    </row>
    <row r="64" spans="1:17" ht="14" x14ac:dyDescent="0.3">
      <c r="A64" s="67">
        <f t="shared" si="0"/>
        <v>64</v>
      </c>
      <c r="B64" s="102"/>
      <c r="C64" s="44" t="str">
        <f>+'BOS G1ND'!C47</f>
        <v>Electronic Payment Recovery</v>
      </c>
      <c r="D64" s="28"/>
      <c r="G64" s="53">
        <v>0</v>
      </c>
      <c r="H64" s="92"/>
      <c r="I64" s="53">
        <f t="shared" si="37"/>
        <v>0</v>
      </c>
      <c r="J64" s="53">
        <f t="shared" si="38"/>
        <v>0</v>
      </c>
      <c r="K64" s="53">
        <f t="shared" si="39"/>
        <v>0</v>
      </c>
      <c r="L64" s="37"/>
      <c r="M64" s="54">
        <f t="shared" si="36"/>
        <v>0</v>
      </c>
      <c r="N64" s="54">
        <f t="shared" si="40"/>
        <v>0</v>
      </c>
      <c r="O64" s="54"/>
      <c r="P64" s="54">
        <f t="shared" si="41"/>
        <v>0</v>
      </c>
      <c r="Q64" s="89" t="str">
        <f>+'BOS G1ND'!Q47</f>
        <v>EPR</v>
      </c>
    </row>
    <row r="65" spans="1:17" ht="14" x14ac:dyDescent="0.3">
      <c r="A65" s="67">
        <f t="shared" si="0"/>
        <v>65</v>
      </c>
      <c r="B65" s="102"/>
      <c r="C65" s="44" t="str">
        <f>+'BOS G1ND'!C48</f>
        <v>Provisional System Planning Factor</v>
      </c>
      <c r="D65" s="28"/>
      <c r="G65" s="53">
        <v>0</v>
      </c>
      <c r="H65" s="92"/>
      <c r="I65" s="91">
        <f t="shared" si="37"/>
        <v>0</v>
      </c>
      <c r="J65" s="91">
        <f t="shared" si="38"/>
        <v>0</v>
      </c>
      <c r="K65" s="91">
        <f t="shared" si="39"/>
        <v>0</v>
      </c>
      <c r="L65" s="37"/>
      <c r="M65" s="54">
        <f t="shared" si="36"/>
        <v>0</v>
      </c>
      <c r="N65" s="54">
        <f t="shared" si="40"/>
        <v>0</v>
      </c>
      <c r="O65" s="54"/>
      <c r="P65" s="54">
        <f t="shared" si="41"/>
        <v>0</v>
      </c>
      <c r="Q65" s="89" t="str">
        <f>+'BOS G1ND'!Q48</f>
        <v>PSPF</v>
      </c>
    </row>
    <row r="66" spans="1:17" ht="14" x14ac:dyDescent="0.3">
      <c r="A66" s="67">
        <f t="shared" si="0"/>
        <v>66</v>
      </c>
      <c r="B66" s="102"/>
      <c r="C66" s="44" t="str">
        <f>+'BOS G1ND'!C49</f>
        <v>Electric Vehicle Factor</v>
      </c>
      <c r="D66" s="28"/>
      <c r="G66" s="53">
        <v>1.0300000000000001E-3</v>
      </c>
      <c r="H66" s="92"/>
      <c r="I66" s="91">
        <f t="shared" si="37"/>
        <v>1.0300000000000001E-3</v>
      </c>
      <c r="J66" s="91">
        <f t="shared" si="38"/>
        <v>1.0300000000000001E-3</v>
      </c>
      <c r="K66" s="91">
        <f t="shared" si="39"/>
        <v>1.0300000000000001E-3</v>
      </c>
      <c r="L66" s="37"/>
      <c r="M66" s="54">
        <f t="shared" si="36"/>
        <v>0</v>
      </c>
      <c r="N66" s="54">
        <f t="shared" si="40"/>
        <v>0</v>
      </c>
      <c r="O66" s="54"/>
      <c r="P66" s="54">
        <f t="shared" si="41"/>
        <v>0</v>
      </c>
      <c r="Q66" s="89" t="str">
        <f>+'BOS G1ND'!Q49</f>
        <v>EVF</v>
      </c>
    </row>
    <row r="67" spans="1:17" ht="14" x14ac:dyDescent="0.3">
      <c r="A67" s="67">
        <f t="shared" ref="A67:A73" si="42">A66+1</f>
        <v>67</v>
      </c>
      <c r="B67" s="102"/>
      <c r="C67" s="44" t="str">
        <f>+'BOS G1ND'!C50</f>
        <v>Transition</v>
      </c>
      <c r="D67" s="28"/>
      <c r="E67" s="119"/>
      <c r="G67" s="53">
        <v>-3.6999999999999999E-4</v>
      </c>
      <c r="H67" s="92"/>
      <c r="I67" s="91">
        <f t="shared" si="37"/>
        <v>-3.6999999999999999E-4</v>
      </c>
      <c r="J67" s="91">
        <f t="shared" si="38"/>
        <v>-3.6999999999999999E-4</v>
      </c>
      <c r="K67" s="91">
        <f t="shared" si="39"/>
        <v>-3.6999999999999999E-4</v>
      </c>
      <c r="L67" s="37"/>
      <c r="M67" s="54">
        <f t="shared" si="36"/>
        <v>0</v>
      </c>
      <c r="N67" s="54">
        <f t="shared" si="40"/>
        <v>0</v>
      </c>
      <c r="O67" s="54"/>
      <c r="P67" s="54">
        <f t="shared" si="41"/>
        <v>0</v>
      </c>
      <c r="Q67" s="89" t="str">
        <f>+'BOS G1ND'!Q50</f>
        <v>TRNSN</v>
      </c>
    </row>
    <row r="68" spans="1:17" ht="14" x14ac:dyDescent="0.3">
      <c r="A68" s="67">
        <f t="shared" si="42"/>
        <v>68</v>
      </c>
      <c r="B68" s="102"/>
      <c r="C68" s="28" t="s">
        <v>129</v>
      </c>
      <c r="D68" s="28"/>
      <c r="E68" s="23"/>
      <c r="G68" s="49">
        <v>0</v>
      </c>
      <c r="H68" s="92"/>
      <c r="I68" s="88">
        <f t="shared" si="37"/>
        <v>0</v>
      </c>
      <c r="J68" s="88">
        <f t="shared" si="38"/>
        <v>0</v>
      </c>
      <c r="K68" s="88">
        <f t="shared" si="39"/>
        <v>0</v>
      </c>
      <c r="L68" s="37"/>
      <c r="M68" s="50">
        <f t="shared" si="36"/>
        <v>0</v>
      </c>
      <c r="N68" s="50">
        <f t="shared" si="40"/>
        <v>0</v>
      </c>
      <c r="O68" s="50"/>
      <c r="P68" s="50">
        <f t="shared" si="41"/>
        <v>0</v>
      </c>
      <c r="Q68" s="51" t="s">
        <v>104</v>
      </c>
    </row>
    <row r="69" spans="1:17" ht="14" x14ac:dyDescent="0.3">
      <c r="A69" s="67">
        <f t="shared" si="42"/>
        <v>69</v>
      </c>
      <c r="B69" s="102"/>
      <c r="C69" s="28" t="s">
        <v>130</v>
      </c>
      <c r="D69" s="28"/>
      <c r="E69" s="23"/>
      <c r="G69" s="88">
        <v>10.89</v>
      </c>
      <c r="H69" s="103"/>
      <c r="I69" s="88">
        <f t="shared" si="37"/>
        <v>10.89</v>
      </c>
      <c r="J69" s="88">
        <f t="shared" si="38"/>
        <v>10.89</v>
      </c>
      <c r="K69" s="88">
        <f t="shared" si="39"/>
        <v>10.89</v>
      </c>
      <c r="L69" s="37"/>
      <c r="M69" s="50">
        <f t="shared" si="36"/>
        <v>0</v>
      </c>
      <c r="N69" s="50">
        <f t="shared" si="40"/>
        <v>0</v>
      </c>
      <c r="O69" s="50"/>
      <c r="P69" s="50">
        <f t="shared" si="41"/>
        <v>0</v>
      </c>
      <c r="Q69" s="51" t="s">
        <v>104</v>
      </c>
    </row>
    <row r="70" spans="1:17" ht="14" x14ac:dyDescent="0.3">
      <c r="A70" s="67">
        <f t="shared" si="42"/>
        <v>70</v>
      </c>
      <c r="B70" s="102"/>
      <c r="C70" s="28" t="s">
        <v>105</v>
      </c>
      <c r="D70" s="28"/>
      <c r="E70" s="119"/>
      <c r="G70" s="53">
        <v>-8.1300000000000001E-3</v>
      </c>
      <c r="H70" s="92"/>
      <c r="I70" s="91">
        <v>1.038E-2</v>
      </c>
      <c r="J70" s="91">
        <v>1.333E-2</v>
      </c>
      <c r="K70" s="91">
        <v>1.3129999999999999E-2</v>
      </c>
      <c r="L70" s="37"/>
      <c r="M70" s="54">
        <f t="shared" si="36"/>
        <v>1.8509999999999999E-2</v>
      </c>
      <c r="N70" s="54">
        <f t="shared" si="40"/>
        <v>2.9499999999999995E-3</v>
      </c>
      <c r="O70" s="54"/>
      <c r="P70" s="54">
        <f t="shared" si="41"/>
        <v>-2.0000000000000052E-4</v>
      </c>
      <c r="Q70" s="89" t="s">
        <v>106</v>
      </c>
    </row>
    <row r="71" spans="1:17" ht="14" x14ac:dyDescent="0.3">
      <c r="A71" s="67">
        <f t="shared" si="42"/>
        <v>71</v>
      </c>
      <c r="B71" s="102"/>
      <c r="C71" s="101" t="s">
        <v>107</v>
      </c>
      <c r="D71" s="101"/>
      <c r="E71" s="101"/>
      <c r="F71" s="121"/>
      <c r="G71" s="53">
        <v>2.5000000000000001E-3</v>
      </c>
      <c r="H71" s="92"/>
      <c r="I71" s="91">
        <f>+G71</f>
        <v>2.5000000000000001E-3</v>
      </c>
      <c r="J71" s="91">
        <f t="shared" si="38"/>
        <v>2.5000000000000001E-3</v>
      </c>
      <c r="K71" s="91">
        <f t="shared" si="39"/>
        <v>2.5000000000000001E-3</v>
      </c>
      <c r="L71" s="2"/>
      <c r="M71" s="54">
        <f t="shared" si="36"/>
        <v>0</v>
      </c>
      <c r="N71" s="54">
        <f t="shared" si="40"/>
        <v>0</v>
      </c>
      <c r="O71" s="54"/>
      <c r="P71" s="54">
        <f t="shared" si="41"/>
        <v>0</v>
      </c>
      <c r="Q71" s="89" t="s">
        <v>108</v>
      </c>
    </row>
    <row r="72" spans="1:17" ht="14" x14ac:dyDescent="0.3">
      <c r="A72" s="67">
        <f t="shared" si="42"/>
        <v>72</v>
      </c>
      <c r="B72" s="102"/>
      <c r="C72" s="101" t="s">
        <v>109</v>
      </c>
      <c r="D72" s="122"/>
      <c r="E72" s="109"/>
      <c r="F72" s="123"/>
      <c r="G72" s="53">
        <v>5.0000000000000001E-4</v>
      </c>
      <c r="H72" s="92"/>
      <c r="I72" s="91">
        <f>+G72</f>
        <v>5.0000000000000001E-4</v>
      </c>
      <c r="J72" s="91">
        <f t="shared" si="38"/>
        <v>5.0000000000000001E-4</v>
      </c>
      <c r="K72" s="91">
        <f t="shared" si="39"/>
        <v>5.0000000000000001E-4</v>
      </c>
      <c r="L72" s="2"/>
      <c r="M72" s="54">
        <f t="shared" si="36"/>
        <v>0</v>
      </c>
      <c r="N72" s="54">
        <f t="shared" si="40"/>
        <v>0</v>
      </c>
      <c r="O72" s="54"/>
      <c r="P72" s="54">
        <f t="shared" si="41"/>
        <v>0</v>
      </c>
      <c r="Q72" s="89" t="s">
        <v>110</v>
      </c>
    </row>
    <row r="73" spans="1:17" ht="14" x14ac:dyDescent="0.3">
      <c r="A73" s="67">
        <f t="shared" si="42"/>
        <v>73</v>
      </c>
      <c r="B73" s="102"/>
      <c r="C73" s="124" t="s">
        <v>111</v>
      </c>
      <c r="D73" s="124"/>
      <c r="E73" s="123"/>
      <c r="F73" s="123"/>
      <c r="G73" s="53">
        <v>0.13982</v>
      </c>
      <c r="H73" s="55"/>
      <c r="I73" s="53">
        <f>+G73</f>
        <v>0.13982</v>
      </c>
      <c r="J73" s="53">
        <f t="shared" si="38"/>
        <v>0.13982</v>
      </c>
      <c r="K73" s="53">
        <f t="shared" si="39"/>
        <v>0.13982</v>
      </c>
      <c r="L73" s="2"/>
      <c r="M73" s="54">
        <f t="shared" si="36"/>
        <v>0</v>
      </c>
      <c r="N73" s="54">
        <f t="shared" si="40"/>
        <v>0</v>
      </c>
      <c r="O73" s="54"/>
      <c r="P73" s="54">
        <f t="shared" si="41"/>
        <v>0</v>
      </c>
      <c r="Q73" s="89" t="s">
        <v>112</v>
      </c>
    </row>
    <row r="74" spans="1:17" ht="14" x14ac:dyDescent="0.3">
      <c r="A74" s="67"/>
      <c r="B74" s="102"/>
      <c r="C74" s="125"/>
      <c r="D74" s="124"/>
      <c r="E74" s="123"/>
      <c r="F74" s="123"/>
      <c r="G74" s="118"/>
      <c r="H74" s="118"/>
      <c r="I74" s="118"/>
      <c r="J74" s="94"/>
    </row>
    <row r="75" spans="1:17" ht="14" x14ac:dyDescent="0.3">
      <c r="A75" s="67"/>
      <c r="B75" s="102"/>
      <c r="C75" s="125" t="s">
        <v>58</v>
      </c>
      <c r="D75" s="124"/>
      <c r="E75" s="123"/>
      <c r="F75" s="123"/>
      <c r="G75" s="88">
        <f>+G43</f>
        <v>30</v>
      </c>
      <c r="H75" s="103"/>
      <c r="I75" s="88">
        <f>+I43</f>
        <v>30</v>
      </c>
      <c r="J75" s="88">
        <f t="shared" ref="J75:K75" si="43">+J43</f>
        <v>30</v>
      </c>
      <c r="K75" s="88">
        <f t="shared" si="43"/>
        <v>30</v>
      </c>
    </row>
    <row r="76" spans="1:17" ht="14" x14ac:dyDescent="0.3">
      <c r="A76" s="67"/>
      <c r="B76" s="102"/>
      <c r="C76" s="125" t="s">
        <v>131</v>
      </c>
      <c r="D76" s="124"/>
      <c r="E76" s="123"/>
      <c r="F76" s="123"/>
      <c r="G76" s="88">
        <f>SUM(G44,G68)</f>
        <v>0</v>
      </c>
      <c r="H76" s="103"/>
      <c r="I76" s="88">
        <f>SUM(I44,I68)</f>
        <v>0</v>
      </c>
      <c r="J76" s="88">
        <f t="shared" ref="J76:K77" si="44">SUM(J44,J68)</f>
        <v>0</v>
      </c>
      <c r="K76" s="88">
        <f t="shared" si="44"/>
        <v>0</v>
      </c>
    </row>
    <row r="77" spans="1:17" ht="14" x14ac:dyDescent="0.3">
      <c r="A77" s="67"/>
      <c r="B77" s="102"/>
      <c r="C77" s="125" t="s">
        <v>132</v>
      </c>
      <c r="D77" s="122"/>
      <c r="E77" s="123"/>
      <c r="F77" s="123"/>
      <c r="G77" s="88">
        <f>SUM(G45,G69)</f>
        <v>23.12</v>
      </c>
      <c r="H77" s="103"/>
      <c r="I77" s="88">
        <f>SUM(I45,I69)</f>
        <v>23.12</v>
      </c>
      <c r="J77" s="88">
        <f t="shared" si="44"/>
        <v>23.12</v>
      </c>
      <c r="K77" s="88">
        <f t="shared" si="44"/>
        <v>23.12</v>
      </c>
    </row>
    <row r="78" spans="1:17" ht="14" x14ac:dyDescent="0.3">
      <c r="A78" s="67"/>
      <c r="B78" s="102"/>
      <c r="C78" s="125" t="s">
        <v>122</v>
      </c>
      <c r="D78" s="122"/>
      <c r="E78" s="123"/>
      <c r="F78" s="123"/>
      <c r="G78" s="53">
        <f>SUM(G46:G67,G70:G72)</f>
        <v>3.0509999999999999E-2</v>
      </c>
      <c r="H78" s="92"/>
      <c r="I78" s="53">
        <f>SUM(I46:I67,I70:I72)</f>
        <v>4.9020000000000001E-2</v>
      </c>
      <c r="J78" s="53">
        <f t="shared" ref="J78:K78" si="45">SUM(J46:J67,J70:J72)</f>
        <v>5.1970000000000002E-2</v>
      </c>
      <c r="K78" s="53">
        <f t="shared" si="45"/>
        <v>5.1769999999999997E-2</v>
      </c>
    </row>
    <row r="79" spans="1:17" ht="14" x14ac:dyDescent="0.3">
      <c r="A79" s="67"/>
      <c r="B79" s="102"/>
      <c r="C79" s="125" t="s">
        <v>123</v>
      </c>
      <c r="D79" s="122"/>
      <c r="E79" s="123"/>
      <c r="F79" s="123"/>
      <c r="G79" s="53">
        <f>+G73</f>
        <v>0.13982</v>
      </c>
      <c r="H79" s="92"/>
      <c r="I79" s="53">
        <f>+I73</f>
        <v>0.13982</v>
      </c>
      <c r="J79" s="53">
        <f t="shared" ref="J79:K79" si="46">+J73</f>
        <v>0.13982</v>
      </c>
      <c r="K79" s="53">
        <f t="shared" si="46"/>
        <v>0.13982</v>
      </c>
    </row>
    <row r="80" spans="1:17" ht="14" x14ac:dyDescent="0.3">
      <c r="A80" s="102"/>
      <c r="B80" s="102"/>
      <c r="C80" s="125"/>
      <c r="D80" s="122"/>
      <c r="E80" s="123"/>
      <c r="F80" s="123"/>
      <c r="G80" s="123"/>
      <c r="H80" s="103"/>
      <c r="I80" s="123"/>
    </row>
    <row r="81" spans="1:9" ht="14" x14ac:dyDescent="0.3">
      <c r="A81" s="102"/>
      <c r="B81" s="102"/>
      <c r="C81" s="122"/>
      <c r="D81" s="122"/>
      <c r="E81" s="123"/>
      <c r="F81" s="123"/>
      <c r="G81" s="123"/>
      <c r="H81" s="103"/>
      <c r="I81" s="123"/>
    </row>
    <row r="82" spans="1:9" ht="14" x14ac:dyDescent="0.3">
      <c r="A82" s="102"/>
      <c r="B82" s="102"/>
      <c r="C82" s="122"/>
      <c r="D82" s="122"/>
      <c r="E82" s="123"/>
      <c r="F82" s="123"/>
      <c r="G82" s="123"/>
      <c r="H82" s="103"/>
      <c r="I82" s="123"/>
    </row>
    <row r="83" spans="1:9" ht="14" x14ac:dyDescent="0.3">
      <c r="A83" s="102"/>
      <c r="B83" s="102"/>
      <c r="C83" s="122"/>
      <c r="D83" s="122"/>
      <c r="E83" s="123"/>
      <c r="F83" s="123"/>
      <c r="G83" s="123"/>
      <c r="H83" s="103"/>
      <c r="I83" s="123"/>
    </row>
    <row r="84" spans="1:9" ht="14" x14ac:dyDescent="0.3">
      <c r="A84" s="102"/>
      <c r="B84" s="102"/>
      <c r="C84" s="101"/>
      <c r="D84" s="101"/>
      <c r="E84" s="101"/>
      <c r="F84" s="101"/>
      <c r="G84" s="101"/>
      <c r="H84" s="103"/>
      <c r="I84" s="101"/>
    </row>
    <row r="85" spans="1:9" ht="14" x14ac:dyDescent="0.3">
      <c r="A85" s="102"/>
      <c r="B85" s="102"/>
      <c r="C85" s="101"/>
      <c r="D85" s="101"/>
      <c r="E85" s="101"/>
      <c r="F85" s="101"/>
      <c r="G85" s="101"/>
      <c r="H85" s="103"/>
      <c r="I85" s="101"/>
    </row>
    <row r="86" spans="1:9" ht="14" x14ac:dyDescent="0.3">
      <c r="A86" s="102"/>
      <c r="B86" s="102"/>
      <c r="C86" s="101"/>
      <c r="D86" s="101"/>
      <c r="E86" s="101"/>
      <c r="F86" s="101"/>
      <c r="G86" s="101"/>
      <c r="H86" s="103"/>
      <c r="I86" s="101"/>
    </row>
    <row r="87" spans="1:9" ht="14" x14ac:dyDescent="0.3">
      <c r="A87" s="102"/>
      <c r="B87" s="102"/>
      <c r="C87" s="101"/>
      <c r="D87" s="101"/>
      <c r="E87" s="101"/>
      <c r="F87" s="101"/>
      <c r="G87" s="101"/>
      <c r="H87" s="103"/>
      <c r="I87" s="101"/>
    </row>
    <row r="88" spans="1:9" ht="14" x14ac:dyDescent="0.3">
      <c r="A88" s="102"/>
      <c r="B88" s="102"/>
      <c r="C88" s="101"/>
      <c r="D88" s="101"/>
      <c r="E88" s="101"/>
      <c r="F88" s="101"/>
      <c r="G88" s="101"/>
      <c r="H88" s="103"/>
      <c r="I88" s="101"/>
    </row>
    <row r="89" spans="1:9" ht="14" x14ac:dyDescent="0.3">
      <c r="A89" s="102"/>
      <c r="B89" s="102"/>
      <c r="C89" s="101"/>
      <c r="D89" s="101"/>
      <c r="E89" s="101"/>
      <c r="F89" s="101"/>
      <c r="G89" s="101"/>
      <c r="H89" s="103"/>
      <c r="I89" s="101"/>
    </row>
    <row r="90" spans="1:9" ht="14" x14ac:dyDescent="0.3">
      <c r="A90" s="102"/>
      <c r="B90" s="102"/>
      <c r="C90" s="101"/>
      <c r="D90" s="101"/>
      <c r="E90" s="101"/>
      <c r="F90" s="101"/>
      <c r="G90" s="101"/>
      <c r="H90" s="103"/>
      <c r="I90" s="101"/>
    </row>
    <row r="91" spans="1:9" ht="14" x14ac:dyDescent="0.3">
      <c r="A91" s="102"/>
      <c r="B91" s="102"/>
      <c r="C91" s="101"/>
      <c r="D91" s="101"/>
      <c r="E91" s="101"/>
      <c r="F91" s="101"/>
      <c r="G91" s="101"/>
      <c r="H91" s="103"/>
      <c r="I91" s="101"/>
    </row>
    <row r="92" spans="1:9" ht="14" x14ac:dyDescent="0.3">
      <c r="A92" s="102"/>
      <c r="B92" s="102"/>
      <c r="C92" s="101"/>
      <c r="D92" s="101"/>
      <c r="E92" s="101"/>
      <c r="F92" s="101"/>
      <c r="G92" s="101"/>
      <c r="H92" s="103"/>
      <c r="I92" s="101"/>
    </row>
    <row r="93" spans="1:9" ht="14" x14ac:dyDescent="0.3">
      <c r="A93" s="102"/>
      <c r="B93" s="102"/>
      <c r="C93" s="101"/>
      <c r="D93" s="101"/>
      <c r="E93" s="101"/>
      <c r="F93" s="101"/>
      <c r="G93" s="101"/>
      <c r="H93" s="103"/>
      <c r="I93" s="101"/>
    </row>
    <row r="94" spans="1:9" ht="14" x14ac:dyDescent="0.3">
      <c r="A94" s="102"/>
      <c r="B94" s="102"/>
      <c r="C94" s="101"/>
      <c r="D94" s="101"/>
      <c r="E94" s="101"/>
      <c r="F94" s="101"/>
      <c r="G94" s="101"/>
      <c r="H94" s="103"/>
      <c r="I94" s="101"/>
    </row>
    <row r="95" spans="1:9" ht="14" x14ac:dyDescent="0.3">
      <c r="A95" s="102"/>
      <c r="B95" s="102"/>
      <c r="C95" s="101"/>
      <c r="D95" s="101"/>
      <c r="E95" s="101"/>
      <c r="F95" s="101"/>
      <c r="G95" s="101"/>
      <c r="H95" s="103"/>
      <c r="I95" s="101"/>
    </row>
    <row r="96" spans="1:9" ht="14" x14ac:dyDescent="0.3">
      <c r="A96" s="102"/>
      <c r="B96" s="102"/>
      <c r="C96" s="101"/>
      <c r="D96" s="101"/>
      <c r="E96" s="101"/>
      <c r="F96" s="101"/>
      <c r="G96" s="101"/>
      <c r="H96" s="103"/>
      <c r="I96" s="101"/>
    </row>
    <row r="97" spans="1:23" ht="14" x14ac:dyDescent="0.3">
      <c r="A97" s="102"/>
      <c r="B97" s="102"/>
      <c r="C97" s="101"/>
      <c r="D97" s="101"/>
      <c r="E97" s="101"/>
      <c r="F97" s="101"/>
      <c r="G97" s="101"/>
      <c r="H97" s="103"/>
      <c r="I97" s="101"/>
    </row>
    <row r="98" spans="1:23" ht="14" x14ac:dyDescent="0.3">
      <c r="A98" s="102"/>
      <c r="B98" s="102"/>
      <c r="C98" s="101"/>
      <c r="D98" s="101"/>
      <c r="E98" s="101"/>
      <c r="F98" s="101"/>
      <c r="G98" s="101"/>
      <c r="H98" s="103"/>
      <c r="I98" s="101"/>
    </row>
    <row r="99" spans="1:23" ht="14" x14ac:dyDescent="0.3">
      <c r="A99" s="102"/>
      <c r="B99" s="102"/>
      <c r="C99" s="101"/>
      <c r="D99" s="101"/>
      <c r="E99" s="101"/>
      <c r="F99" s="101"/>
      <c r="G99" s="101"/>
      <c r="H99" s="103"/>
      <c r="I99" s="101"/>
    </row>
    <row r="100" spans="1:23" ht="14" x14ac:dyDescent="0.3">
      <c r="A100" s="102"/>
      <c r="B100" s="102"/>
      <c r="C100" s="101"/>
      <c r="D100" s="101"/>
      <c r="E100" s="101"/>
      <c r="F100" s="101"/>
      <c r="G100" s="101"/>
      <c r="H100" s="103"/>
    </row>
    <row r="101" spans="1:23" ht="14" x14ac:dyDescent="0.3">
      <c r="A101" s="102"/>
      <c r="B101" s="102"/>
      <c r="C101" s="101"/>
      <c r="D101" s="101"/>
      <c r="E101" s="101"/>
      <c r="F101" s="101"/>
      <c r="G101" s="101"/>
      <c r="H101" s="103"/>
      <c r="I101" s="101"/>
    </row>
    <row r="102" spans="1:23" ht="14" x14ac:dyDescent="0.3">
      <c r="A102" s="102"/>
      <c r="B102" s="102"/>
      <c r="C102" s="101"/>
      <c r="D102" s="101"/>
      <c r="E102" s="101"/>
      <c r="F102" s="101"/>
      <c r="G102" s="101"/>
      <c r="H102" s="103"/>
      <c r="I102" s="101"/>
    </row>
    <row r="103" spans="1:23" ht="14" x14ac:dyDescent="0.3">
      <c r="A103" s="102"/>
      <c r="B103" s="102"/>
      <c r="C103" s="101"/>
      <c r="D103" s="101"/>
      <c r="E103" s="101"/>
      <c r="F103" s="101"/>
      <c r="G103" s="101"/>
      <c r="H103" s="103"/>
      <c r="I103" s="101"/>
    </row>
    <row r="104" spans="1:23" ht="14" x14ac:dyDescent="0.3">
      <c r="A104" s="102"/>
      <c r="B104" s="102"/>
      <c r="C104" s="101"/>
      <c r="D104" s="101"/>
      <c r="E104" s="101"/>
      <c r="F104" s="101"/>
      <c r="G104" s="101"/>
      <c r="H104" s="103"/>
      <c r="I104" s="101"/>
    </row>
    <row r="105" spans="1:23" ht="14" x14ac:dyDescent="0.3">
      <c r="A105" s="102"/>
      <c r="B105" s="102"/>
      <c r="C105" s="101"/>
      <c r="D105" s="101"/>
      <c r="E105" s="101"/>
      <c r="F105" s="101"/>
      <c r="G105" s="101"/>
      <c r="H105" s="103"/>
      <c r="I105" s="101"/>
    </row>
    <row r="106" spans="1:23" ht="14" x14ac:dyDescent="0.3">
      <c r="A106" s="102"/>
      <c r="B106" s="102"/>
      <c r="C106" s="126"/>
      <c r="D106" s="101"/>
      <c r="E106" s="101"/>
      <c r="F106" s="101"/>
      <c r="G106" s="101"/>
      <c r="H106" s="103"/>
      <c r="I106" s="101"/>
    </row>
    <row r="107" spans="1:23" ht="14" x14ac:dyDescent="0.3">
      <c r="A107" s="102"/>
      <c r="B107" s="102"/>
      <c r="C107" s="127"/>
      <c r="D107" s="127"/>
      <c r="E107" s="97"/>
      <c r="F107" s="97"/>
      <c r="G107" s="97"/>
      <c r="H107" s="128"/>
      <c r="I107" s="97"/>
      <c r="J107" s="97"/>
      <c r="K107" s="97"/>
      <c r="L107" s="129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8"/>
    </row>
    <row r="108" spans="1:23" ht="14" x14ac:dyDescent="0.3">
      <c r="A108" s="102"/>
      <c r="B108" s="102"/>
      <c r="C108" s="101"/>
      <c r="D108" s="101"/>
      <c r="E108" s="101"/>
      <c r="F108" s="101"/>
      <c r="G108" s="101"/>
      <c r="H108" s="103"/>
      <c r="I108" s="101"/>
    </row>
    <row r="109" spans="1:23" ht="14" x14ac:dyDescent="0.3">
      <c r="A109" s="102"/>
      <c r="B109" s="102"/>
      <c r="C109" s="127"/>
      <c r="D109" s="127"/>
      <c r="E109" s="97"/>
      <c r="F109" s="97"/>
      <c r="G109" s="97"/>
      <c r="H109" s="128"/>
      <c r="I109" s="97"/>
      <c r="J109" s="97"/>
      <c r="K109" s="97"/>
      <c r="L109" s="129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8"/>
    </row>
    <row r="110" spans="1:23" ht="14" x14ac:dyDescent="0.3">
      <c r="A110" s="102"/>
      <c r="B110" s="102"/>
      <c r="C110" s="101"/>
      <c r="D110" s="101"/>
      <c r="E110" s="101"/>
      <c r="F110" s="101"/>
      <c r="G110" s="101"/>
      <c r="H110" s="103"/>
      <c r="I110" s="101"/>
    </row>
    <row r="111" spans="1:23" ht="14" x14ac:dyDescent="0.3">
      <c r="A111" s="102"/>
      <c r="B111" s="102"/>
      <c r="C111" s="101"/>
      <c r="D111" s="101"/>
      <c r="E111" s="101"/>
      <c r="F111" s="101"/>
      <c r="G111" s="101"/>
      <c r="H111" s="103"/>
      <c r="I111" s="101"/>
    </row>
    <row r="112" spans="1:23" ht="14" x14ac:dyDescent="0.3">
      <c r="A112" s="102"/>
      <c r="B112" s="102"/>
      <c r="C112" s="101"/>
      <c r="D112" s="101"/>
      <c r="E112" s="101"/>
      <c r="F112" s="101"/>
      <c r="G112" s="101"/>
      <c r="H112" s="103"/>
      <c r="I112" s="101"/>
    </row>
    <row r="113" spans="1:9" ht="14" x14ac:dyDescent="0.3">
      <c r="A113" s="102"/>
      <c r="B113" s="102"/>
      <c r="C113" s="101"/>
      <c r="D113" s="101"/>
      <c r="E113" s="101"/>
      <c r="F113" s="101"/>
      <c r="G113" s="101"/>
      <c r="H113" s="103"/>
      <c r="I113" s="101"/>
    </row>
    <row r="114" spans="1:9" ht="14" x14ac:dyDescent="0.3">
      <c r="A114" s="102"/>
      <c r="B114" s="102"/>
      <c r="C114" s="101"/>
      <c r="D114" s="101"/>
      <c r="E114" s="101"/>
      <c r="F114" s="101"/>
      <c r="G114" s="101"/>
      <c r="H114" s="103"/>
      <c r="I114" s="101"/>
    </row>
    <row r="115" spans="1:9" ht="14" x14ac:dyDescent="0.3">
      <c r="A115" s="102"/>
      <c r="B115" s="102"/>
      <c r="C115" s="101"/>
      <c r="D115" s="101"/>
      <c r="E115" s="101"/>
      <c r="F115" s="101"/>
      <c r="G115" s="101"/>
      <c r="H115" s="103"/>
      <c r="I115" s="101"/>
    </row>
    <row r="116" spans="1:9" ht="14" x14ac:dyDescent="0.3">
      <c r="A116" s="102"/>
      <c r="B116" s="102"/>
      <c r="C116" s="101"/>
      <c r="D116" s="101"/>
      <c r="E116" s="101"/>
      <c r="F116" s="101"/>
      <c r="G116" s="101"/>
      <c r="H116" s="103"/>
      <c r="I116" s="101"/>
    </row>
    <row r="117" spans="1:9" ht="14" x14ac:dyDescent="0.3">
      <c r="A117" s="102"/>
      <c r="B117" s="102"/>
      <c r="C117" s="101"/>
      <c r="D117" s="101"/>
      <c r="E117" s="101"/>
      <c r="F117" s="101"/>
      <c r="G117" s="101"/>
      <c r="H117" s="103"/>
      <c r="I117" s="101"/>
    </row>
    <row r="118" spans="1:9" ht="14" x14ac:dyDescent="0.3">
      <c r="A118" s="102"/>
      <c r="B118" s="102"/>
      <c r="C118" s="101"/>
      <c r="D118" s="101"/>
      <c r="E118" s="101"/>
      <c r="F118" s="101"/>
      <c r="G118" s="101"/>
      <c r="H118" s="103"/>
      <c r="I118" s="101"/>
    </row>
    <row r="119" spans="1:9" ht="14" x14ac:dyDescent="0.3">
      <c r="A119" s="102"/>
      <c r="B119" s="102"/>
      <c r="C119" s="101"/>
      <c r="D119" s="101"/>
      <c r="E119" s="101"/>
      <c r="F119" s="101"/>
      <c r="G119" s="101"/>
      <c r="H119" s="103"/>
      <c r="I119" s="101"/>
    </row>
    <row r="120" spans="1:9" ht="14" x14ac:dyDescent="0.3">
      <c r="A120" s="102"/>
      <c r="B120" s="102"/>
      <c r="C120" s="101"/>
      <c r="D120" s="101"/>
      <c r="E120" s="101"/>
      <c r="F120" s="101"/>
      <c r="G120" s="101"/>
      <c r="H120" s="103"/>
      <c r="I120" s="101"/>
    </row>
    <row r="121" spans="1:9" ht="14" x14ac:dyDescent="0.3">
      <c r="A121" s="102"/>
      <c r="B121" s="102"/>
      <c r="C121" s="101"/>
      <c r="D121" s="101"/>
      <c r="E121" s="101"/>
      <c r="F121" s="101"/>
      <c r="G121" s="101"/>
      <c r="H121" s="103"/>
      <c r="I121" s="101"/>
    </row>
    <row r="122" spans="1:9" ht="14" x14ac:dyDescent="0.3">
      <c r="A122" s="102"/>
      <c r="B122" s="102"/>
      <c r="C122" s="101"/>
      <c r="D122" s="101"/>
      <c r="E122" s="101"/>
      <c r="F122" s="101"/>
      <c r="G122" s="101"/>
      <c r="H122" s="103"/>
      <c r="I122" s="101"/>
    </row>
    <row r="123" spans="1:9" ht="14" x14ac:dyDescent="0.3">
      <c r="A123" s="102"/>
      <c r="B123" s="102"/>
      <c r="C123" s="101"/>
      <c r="D123" s="101"/>
      <c r="E123" s="101"/>
      <c r="F123" s="101"/>
      <c r="G123" s="101"/>
      <c r="H123" s="103"/>
      <c r="I123" s="101"/>
    </row>
    <row r="124" spans="1:9" ht="14" x14ac:dyDescent="0.3">
      <c r="A124" s="102"/>
      <c r="B124" s="102"/>
      <c r="C124" s="101"/>
      <c r="D124" s="101"/>
      <c r="E124" s="101"/>
      <c r="F124" s="101"/>
      <c r="G124" s="101"/>
      <c r="H124" s="103"/>
      <c r="I124" s="101"/>
    </row>
    <row r="125" spans="1:9" ht="14" x14ac:dyDescent="0.3">
      <c r="A125" s="102"/>
      <c r="B125" s="102"/>
      <c r="C125" s="101"/>
      <c r="D125" s="101"/>
      <c r="E125" s="101"/>
      <c r="F125" s="101"/>
      <c r="G125" s="101"/>
      <c r="H125" s="103"/>
      <c r="I125" s="101"/>
    </row>
    <row r="126" spans="1:9" ht="14" x14ac:dyDescent="0.3">
      <c r="A126" s="102"/>
      <c r="B126" s="102"/>
      <c r="C126" s="101"/>
      <c r="D126" s="101"/>
      <c r="E126" s="101"/>
      <c r="F126" s="101"/>
      <c r="G126" s="101"/>
      <c r="H126" s="103"/>
      <c r="I126" s="101"/>
    </row>
    <row r="127" spans="1:9" ht="14" x14ac:dyDescent="0.3">
      <c r="A127" s="102"/>
      <c r="B127" s="102"/>
      <c r="C127" s="101"/>
      <c r="D127" s="101"/>
      <c r="E127" s="101"/>
      <c r="F127" s="101"/>
      <c r="G127" s="101"/>
      <c r="H127" s="103"/>
      <c r="I127" s="101"/>
    </row>
    <row r="128" spans="1:9" ht="14" x14ac:dyDescent="0.3">
      <c r="A128" s="102"/>
      <c r="B128" s="102"/>
      <c r="C128" s="101"/>
      <c r="D128" s="101"/>
      <c r="E128" s="101"/>
      <c r="F128" s="101"/>
      <c r="G128" s="101"/>
      <c r="H128" s="103"/>
      <c r="I128" s="101"/>
    </row>
    <row r="129" spans="1:9" ht="14" x14ac:dyDescent="0.3">
      <c r="A129" s="102"/>
      <c r="B129" s="102"/>
      <c r="C129" s="101"/>
      <c r="D129" s="101"/>
      <c r="E129" s="101"/>
      <c r="F129" s="101"/>
      <c r="G129" s="101"/>
      <c r="H129" s="103"/>
      <c r="I129" s="101"/>
    </row>
    <row r="130" spans="1:9" ht="14" x14ac:dyDescent="0.3">
      <c r="A130" s="102"/>
      <c r="B130" s="102"/>
      <c r="C130" s="101"/>
      <c r="D130" s="101"/>
      <c r="E130" s="101"/>
      <c r="F130" s="101"/>
      <c r="G130" s="101"/>
      <c r="H130" s="103"/>
      <c r="I130" s="101"/>
    </row>
    <row r="131" spans="1:9" ht="14" x14ac:dyDescent="0.3">
      <c r="A131" s="102"/>
      <c r="B131" s="102"/>
      <c r="C131" s="101"/>
      <c r="D131" s="101"/>
      <c r="E131" s="101"/>
      <c r="F131" s="101"/>
      <c r="G131" s="101"/>
      <c r="H131" s="103"/>
      <c r="I131" s="101"/>
    </row>
    <row r="132" spans="1:9" ht="14" x14ac:dyDescent="0.3">
      <c r="A132" s="102"/>
      <c r="B132" s="102"/>
      <c r="C132" s="101"/>
      <c r="D132" s="101"/>
      <c r="E132" s="101"/>
      <c r="F132" s="101"/>
      <c r="G132" s="101"/>
      <c r="H132" s="103"/>
      <c r="I132" s="101"/>
    </row>
    <row r="133" spans="1:9" ht="14" x14ac:dyDescent="0.3">
      <c r="A133" s="102"/>
      <c r="B133" s="102"/>
      <c r="C133" s="101"/>
      <c r="D133" s="101"/>
      <c r="E133" s="101"/>
      <c r="F133" s="101"/>
      <c r="G133" s="101"/>
      <c r="H133" s="103"/>
      <c r="I133" s="101"/>
    </row>
    <row r="134" spans="1:9" ht="14" x14ac:dyDescent="0.3">
      <c r="A134" s="102"/>
      <c r="B134" s="102"/>
      <c r="C134" s="101"/>
      <c r="D134" s="101"/>
      <c r="E134" s="101"/>
      <c r="F134" s="101"/>
      <c r="G134" s="101"/>
      <c r="H134" s="103"/>
      <c r="I134" s="101"/>
    </row>
    <row r="135" spans="1:9" ht="14" x14ac:dyDescent="0.3">
      <c r="A135" s="102"/>
      <c r="B135" s="102"/>
      <c r="C135" s="101"/>
      <c r="D135" s="101"/>
      <c r="E135" s="101"/>
      <c r="F135" s="101"/>
      <c r="G135" s="101"/>
      <c r="H135" s="103"/>
      <c r="I135" s="101"/>
    </row>
    <row r="136" spans="1:9" ht="14" x14ac:dyDescent="0.3">
      <c r="A136" s="102"/>
      <c r="B136" s="102"/>
      <c r="C136" s="101"/>
      <c r="D136" s="101"/>
      <c r="E136" s="101"/>
      <c r="F136" s="101"/>
      <c r="G136" s="101"/>
      <c r="H136" s="103"/>
      <c r="I136" s="101"/>
    </row>
    <row r="137" spans="1:9" ht="14" x14ac:dyDescent="0.3">
      <c r="A137" s="102"/>
      <c r="B137" s="102"/>
      <c r="C137" s="101"/>
      <c r="D137" s="101"/>
      <c r="E137" s="101"/>
      <c r="F137" s="101"/>
      <c r="G137" s="101"/>
      <c r="H137" s="103"/>
      <c r="I137" s="101"/>
    </row>
    <row r="138" spans="1:9" ht="14" x14ac:dyDescent="0.3">
      <c r="A138" s="102"/>
      <c r="B138" s="102"/>
      <c r="C138" s="101"/>
      <c r="D138" s="101"/>
      <c r="E138" s="101"/>
      <c r="F138" s="101"/>
      <c r="G138" s="101"/>
      <c r="H138" s="103"/>
      <c r="I138" s="101"/>
    </row>
    <row r="139" spans="1:9" ht="14" x14ac:dyDescent="0.3">
      <c r="A139" s="102"/>
      <c r="B139" s="102"/>
      <c r="C139" s="101"/>
      <c r="D139" s="101"/>
      <c r="E139" s="101"/>
      <c r="F139" s="101"/>
      <c r="G139" s="101"/>
      <c r="H139" s="103"/>
      <c r="I139" s="101"/>
    </row>
    <row r="140" spans="1:9" ht="14" x14ac:dyDescent="0.3">
      <c r="A140" s="102"/>
      <c r="B140" s="102"/>
      <c r="C140" s="101"/>
      <c r="D140" s="101"/>
      <c r="E140" s="101"/>
      <c r="F140" s="101"/>
      <c r="G140" s="101"/>
      <c r="H140" s="103"/>
      <c r="I140" s="101"/>
    </row>
    <row r="141" spans="1:9" ht="14" x14ac:dyDescent="0.3">
      <c r="A141" s="102"/>
      <c r="B141" s="102"/>
      <c r="C141" s="101"/>
      <c r="D141" s="101"/>
      <c r="E141" s="101"/>
      <c r="F141" s="101"/>
      <c r="G141" s="101"/>
      <c r="H141" s="103"/>
      <c r="I141" s="101"/>
    </row>
    <row r="142" spans="1:9" ht="14" x14ac:dyDescent="0.3">
      <c r="A142" s="102"/>
      <c r="B142" s="102"/>
      <c r="C142" s="101"/>
      <c r="D142" s="101"/>
      <c r="E142" s="101"/>
      <c r="F142" s="101"/>
      <c r="G142" s="101"/>
      <c r="H142" s="103"/>
      <c r="I142" s="101"/>
    </row>
    <row r="143" spans="1:9" ht="14" x14ac:dyDescent="0.3">
      <c r="A143" s="102"/>
      <c r="B143" s="102"/>
      <c r="C143" s="101"/>
      <c r="D143" s="101"/>
      <c r="E143" s="101"/>
      <c r="F143" s="101"/>
      <c r="G143" s="101"/>
      <c r="H143" s="103"/>
      <c r="I143" s="101"/>
    </row>
    <row r="144" spans="1:9" ht="14" x14ac:dyDescent="0.3">
      <c r="A144" s="102"/>
      <c r="B144" s="102"/>
      <c r="C144" s="101"/>
      <c r="D144" s="101"/>
      <c r="E144" s="101"/>
      <c r="F144" s="101"/>
      <c r="G144" s="101"/>
      <c r="H144" s="103"/>
      <c r="I144" s="101"/>
    </row>
    <row r="145" spans="1:9" ht="14" x14ac:dyDescent="0.3">
      <c r="A145" s="102"/>
      <c r="B145" s="102"/>
      <c r="C145" s="101"/>
      <c r="D145" s="101"/>
      <c r="E145" s="101"/>
      <c r="F145" s="101"/>
      <c r="G145" s="101"/>
      <c r="H145" s="103"/>
      <c r="I145" s="101"/>
    </row>
    <row r="146" spans="1:9" ht="14" x14ac:dyDescent="0.3">
      <c r="A146" s="102"/>
      <c r="B146" s="102"/>
      <c r="C146" s="101"/>
      <c r="D146" s="101"/>
      <c r="E146" s="101"/>
      <c r="F146" s="101"/>
      <c r="G146" s="101"/>
      <c r="H146" s="103"/>
      <c r="I146" s="101"/>
    </row>
    <row r="147" spans="1:9" ht="14" x14ac:dyDescent="0.3">
      <c r="A147" s="102"/>
      <c r="B147" s="102"/>
      <c r="C147" s="101"/>
      <c r="D147" s="101"/>
      <c r="E147" s="101"/>
      <c r="F147" s="101"/>
      <c r="G147" s="101"/>
      <c r="H147" s="103"/>
      <c r="I147" s="101"/>
    </row>
    <row r="148" spans="1:9" ht="14" x14ac:dyDescent="0.3">
      <c r="A148" s="102"/>
      <c r="B148" s="102"/>
      <c r="C148" s="101"/>
      <c r="D148" s="101"/>
      <c r="E148" s="101"/>
      <c r="F148" s="101"/>
      <c r="G148" s="101"/>
      <c r="H148" s="103"/>
      <c r="I148" s="101"/>
    </row>
    <row r="149" spans="1:9" ht="14" x14ac:dyDescent="0.3">
      <c r="A149" s="102"/>
      <c r="B149" s="102"/>
      <c r="C149" s="101"/>
      <c r="D149" s="101"/>
      <c r="E149" s="101"/>
      <c r="F149" s="101"/>
      <c r="G149" s="101"/>
      <c r="H149" s="103"/>
      <c r="I149" s="101"/>
    </row>
    <row r="150" spans="1:9" ht="14" x14ac:dyDescent="0.3">
      <c r="A150" s="102"/>
      <c r="B150" s="102"/>
      <c r="C150" s="101"/>
      <c r="D150" s="101"/>
      <c r="E150" s="101"/>
      <c r="F150" s="101"/>
      <c r="G150" s="101"/>
      <c r="H150" s="103"/>
      <c r="I150" s="101"/>
    </row>
    <row r="151" spans="1:9" ht="14" x14ac:dyDescent="0.3">
      <c r="A151" s="102"/>
      <c r="B151" s="102"/>
      <c r="C151" s="101"/>
      <c r="D151" s="101"/>
      <c r="E151" s="101"/>
      <c r="F151" s="101"/>
      <c r="G151" s="101"/>
      <c r="H151" s="103"/>
      <c r="I151" s="101"/>
    </row>
    <row r="152" spans="1:9" ht="14" x14ac:dyDescent="0.3">
      <c r="A152" s="102"/>
      <c r="B152" s="102"/>
      <c r="C152" s="101"/>
      <c r="D152" s="101"/>
      <c r="E152" s="101"/>
      <c r="F152" s="101"/>
      <c r="G152" s="101"/>
      <c r="H152" s="103"/>
      <c r="I152" s="101"/>
    </row>
    <row r="153" spans="1:9" ht="14" x14ac:dyDescent="0.3">
      <c r="A153" s="102"/>
      <c r="B153" s="102"/>
      <c r="C153" s="101"/>
      <c r="D153" s="101"/>
      <c r="E153" s="101"/>
      <c r="F153" s="101"/>
      <c r="G153" s="101"/>
      <c r="H153" s="103"/>
      <c r="I153" s="101"/>
    </row>
    <row r="154" spans="1:9" ht="14" x14ac:dyDescent="0.3">
      <c r="A154" s="102"/>
      <c r="B154" s="102"/>
      <c r="C154" s="101"/>
      <c r="D154" s="101"/>
      <c r="E154" s="101"/>
      <c r="F154" s="101"/>
      <c r="G154" s="101"/>
      <c r="H154" s="103"/>
      <c r="I154" s="101"/>
    </row>
    <row r="155" spans="1:9" ht="14" x14ac:dyDescent="0.3">
      <c r="A155" s="102"/>
      <c r="B155" s="102"/>
      <c r="C155" s="101"/>
      <c r="D155" s="101"/>
      <c r="E155" s="101"/>
      <c r="F155" s="101"/>
      <c r="G155" s="101"/>
      <c r="H155" s="103"/>
      <c r="I155" s="101"/>
    </row>
    <row r="156" spans="1:9" ht="14" x14ac:dyDescent="0.3">
      <c r="A156" s="102"/>
      <c r="B156" s="102"/>
      <c r="C156" s="101"/>
      <c r="D156" s="101"/>
      <c r="E156" s="101"/>
      <c r="F156" s="101"/>
      <c r="G156" s="101"/>
      <c r="H156" s="103"/>
      <c r="I156" s="101"/>
    </row>
    <row r="157" spans="1:9" ht="14" x14ac:dyDescent="0.3">
      <c r="A157" s="102"/>
      <c r="B157" s="102"/>
      <c r="C157" s="101"/>
      <c r="D157" s="101"/>
      <c r="E157" s="101"/>
      <c r="F157" s="101"/>
      <c r="G157" s="101"/>
      <c r="H157" s="103"/>
      <c r="I157" s="101"/>
    </row>
    <row r="158" spans="1:9" ht="14" x14ac:dyDescent="0.3">
      <c r="A158" s="102"/>
      <c r="B158" s="102"/>
      <c r="C158" s="101"/>
      <c r="D158" s="101"/>
      <c r="E158" s="101"/>
      <c r="F158" s="101"/>
      <c r="G158" s="101"/>
      <c r="H158" s="103"/>
      <c r="I158" s="101"/>
    </row>
    <row r="159" spans="1:9" ht="14" x14ac:dyDescent="0.3">
      <c r="A159" s="102"/>
      <c r="B159" s="102"/>
      <c r="C159" s="101"/>
      <c r="D159" s="101"/>
      <c r="E159" s="101"/>
      <c r="F159" s="101"/>
      <c r="G159" s="101"/>
      <c r="H159" s="103"/>
      <c r="I159" s="101"/>
    </row>
    <row r="160" spans="1:9" ht="14" x14ac:dyDescent="0.3">
      <c r="A160" s="102"/>
      <c r="B160" s="102"/>
      <c r="C160" s="101"/>
      <c r="D160" s="101"/>
      <c r="E160" s="101"/>
      <c r="F160" s="101"/>
      <c r="G160" s="101"/>
      <c r="H160" s="103"/>
      <c r="I160" s="101"/>
    </row>
    <row r="161" spans="1:9" ht="14" x14ac:dyDescent="0.3">
      <c r="A161" s="102"/>
      <c r="B161" s="102"/>
      <c r="C161" s="101"/>
      <c r="D161" s="101"/>
      <c r="E161" s="101"/>
      <c r="F161" s="101"/>
      <c r="G161" s="101"/>
      <c r="H161" s="103"/>
      <c r="I161" s="101"/>
    </row>
    <row r="162" spans="1:9" ht="14" x14ac:dyDescent="0.3">
      <c r="A162" s="102"/>
      <c r="B162" s="102"/>
      <c r="C162" s="101"/>
      <c r="D162" s="101"/>
      <c r="E162" s="101"/>
      <c r="F162" s="101"/>
      <c r="G162" s="101"/>
      <c r="H162" s="103"/>
      <c r="I162" s="101"/>
    </row>
    <row r="163" spans="1:9" ht="14" x14ac:dyDescent="0.3">
      <c r="A163" s="102"/>
      <c r="B163" s="102"/>
      <c r="C163" s="101"/>
      <c r="D163" s="101"/>
      <c r="E163" s="101"/>
      <c r="F163" s="101"/>
      <c r="G163" s="101"/>
      <c r="H163" s="103"/>
      <c r="I163" s="101"/>
    </row>
    <row r="164" spans="1:9" ht="14" x14ac:dyDescent="0.3">
      <c r="A164" s="102"/>
      <c r="B164" s="102"/>
      <c r="C164" s="101"/>
      <c r="D164" s="101"/>
      <c r="E164" s="101"/>
      <c r="F164" s="101"/>
      <c r="G164" s="101"/>
      <c r="H164" s="103"/>
      <c r="I164" s="101"/>
    </row>
    <row r="165" spans="1:9" ht="14" x14ac:dyDescent="0.3">
      <c r="A165" s="102"/>
      <c r="B165" s="102"/>
      <c r="C165" s="101"/>
      <c r="D165" s="101"/>
      <c r="E165" s="101"/>
      <c r="F165" s="101"/>
      <c r="G165" s="101"/>
      <c r="H165" s="103"/>
      <c r="I165" s="101"/>
    </row>
    <row r="166" spans="1:9" ht="14" x14ac:dyDescent="0.3">
      <c r="A166" s="102"/>
      <c r="B166" s="102"/>
      <c r="C166" s="101"/>
      <c r="D166" s="101"/>
      <c r="E166" s="101"/>
      <c r="F166" s="101"/>
      <c r="G166" s="101"/>
      <c r="H166" s="103"/>
      <c r="I166" s="101"/>
    </row>
    <row r="167" spans="1:9" ht="14" x14ac:dyDescent="0.3">
      <c r="A167" s="102"/>
      <c r="B167" s="102"/>
      <c r="C167" s="101"/>
      <c r="D167" s="101"/>
      <c r="E167" s="101"/>
      <c r="F167" s="101"/>
      <c r="G167" s="101"/>
      <c r="H167" s="103"/>
      <c r="I167" s="101"/>
    </row>
    <row r="168" spans="1:9" ht="14" x14ac:dyDescent="0.3">
      <c r="A168" s="102"/>
      <c r="B168" s="102"/>
      <c r="C168" s="101"/>
      <c r="D168" s="101"/>
      <c r="E168" s="101"/>
      <c r="F168" s="101"/>
      <c r="G168" s="101"/>
      <c r="H168" s="103"/>
      <c r="I168" s="101"/>
    </row>
    <row r="169" spans="1:9" ht="14" x14ac:dyDescent="0.3">
      <c r="A169" s="102"/>
      <c r="B169" s="102"/>
      <c r="C169" s="101"/>
      <c r="D169" s="101"/>
      <c r="E169" s="101"/>
      <c r="F169" s="101"/>
      <c r="G169" s="101"/>
      <c r="H169" s="103"/>
      <c r="I169" s="101"/>
    </row>
    <row r="170" spans="1:9" ht="14" x14ac:dyDescent="0.3">
      <c r="A170" s="102"/>
      <c r="B170" s="102"/>
      <c r="C170" s="101"/>
      <c r="D170" s="101"/>
      <c r="E170" s="101"/>
      <c r="F170" s="101"/>
      <c r="G170" s="101"/>
      <c r="H170" s="103"/>
      <c r="I170" s="101"/>
    </row>
    <row r="171" spans="1:9" ht="14" x14ac:dyDescent="0.3">
      <c r="A171" s="102"/>
      <c r="B171" s="102"/>
      <c r="C171" s="101"/>
      <c r="D171" s="101"/>
      <c r="E171" s="101"/>
      <c r="F171" s="101"/>
      <c r="G171" s="101"/>
      <c r="H171" s="103"/>
      <c r="I171" s="101"/>
    </row>
    <row r="172" spans="1:9" ht="14" x14ac:dyDescent="0.3">
      <c r="A172" s="102"/>
      <c r="B172" s="102"/>
      <c r="C172" s="101"/>
      <c r="D172" s="101"/>
      <c r="E172" s="101"/>
      <c r="F172" s="101"/>
      <c r="G172" s="101"/>
      <c r="H172" s="103"/>
      <c r="I172" s="101"/>
    </row>
    <row r="173" spans="1:9" ht="14" x14ac:dyDescent="0.3">
      <c r="A173" s="102"/>
      <c r="B173" s="102"/>
      <c r="C173" s="101"/>
      <c r="D173" s="101"/>
      <c r="E173" s="101"/>
      <c r="F173" s="101"/>
      <c r="G173" s="101"/>
      <c r="H173" s="103"/>
      <c r="I173" s="101"/>
    </row>
    <row r="174" spans="1:9" ht="14" x14ac:dyDescent="0.3">
      <c r="A174" s="102"/>
      <c r="B174" s="102"/>
      <c r="C174" s="101"/>
      <c r="D174" s="101"/>
      <c r="E174" s="101"/>
      <c r="F174" s="101"/>
      <c r="G174" s="101"/>
      <c r="H174" s="103"/>
      <c r="I174" s="101"/>
    </row>
    <row r="175" spans="1:9" ht="14" x14ac:dyDescent="0.3">
      <c r="A175" s="102"/>
      <c r="B175" s="102"/>
      <c r="C175" s="101"/>
      <c r="D175" s="101"/>
      <c r="E175" s="101"/>
      <c r="F175" s="101"/>
      <c r="G175" s="101"/>
      <c r="H175" s="103"/>
      <c r="I175" s="101"/>
    </row>
    <row r="176" spans="1:9" ht="14" x14ac:dyDescent="0.3">
      <c r="A176" s="102"/>
      <c r="B176" s="102"/>
      <c r="C176" s="101"/>
      <c r="D176" s="101"/>
      <c r="E176" s="101"/>
      <c r="F176" s="101"/>
      <c r="G176" s="101"/>
      <c r="H176" s="103"/>
      <c r="I176" s="101"/>
    </row>
    <row r="177" spans="1:9" ht="14" x14ac:dyDescent="0.3">
      <c r="A177" s="102"/>
      <c r="B177" s="102"/>
      <c r="C177" s="101"/>
      <c r="D177" s="101"/>
      <c r="E177" s="101"/>
      <c r="F177" s="101"/>
      <c r="G177" s="101"/>
      <c r="H177" s="103"/>
      <c r="I177" s="101"/>
    </row>
    <row r="178" spans="1:9" ht="14" x14ac:dyDescent="0.3">
      <c r="A178" s="102"/>
      <c r="B178" s="102"/>
      <c r="C178" s="101"/>
      <c r="D178" s="101"/>
      <c r="E178" s="101"/>
      <c r="F178" s="101"/>
      <c r="G178" s="101"/>
      <c r="H178" s="103"/>
      <c r="I178" s="101"/>
    </row>
    <row r="179" spans="1:9" ht="14" x14ac:dyDescent="0.3">
      <c r="A179" s="102"/>
      <c r="B179" s="102"/>
      <c r="C179" s="101"/>
      <c r="D179" s="101"/>
      <c r="E179" s="101"/>
      <c r="F179" s="101"/>
      <c r="G179" s="101"/>
      <c r="H179" s="103"/>
      <c r="I179" s="101"/>
    </row>
    <row r="180" spans="1:9" ht="14" x14ac:dyDescent="0.3">
      <c r="A180" s="102"/>
      <c r="B180" s="102"/>
      <c r="C180" s="101"/>
      <c r="D180" s="101"/>
      <c r="E180" s="101"/>
      <c r="F180" s="101"/>
      <c r="G180" s="101"/>
      <c r="H180" s="103"/>
      <c r="I180" s="101"/>
    </row>
    <row r="181" spans="1:9" ht="14" x14ac:dyDescent="0.3">
      <c r="A181" s="102"/>
      <c r="B181" s="102"/>
      <c r="C181" s="101"/>
      <c r="D181" s="101"/>
      <c r="E181" s="101"/>
      <c r="F181" s="101"/>
      <c r="G181" s="101"/>
      <c r="H181" s="103"/>
      <c r="I181" s="101"/>
    </row>
    <row r="182" spans="1:9" ht="14" x14ac:dyDescent="0.3">
      <c r="A182" s="102"/>
      <c r="B182" s="102"/>
      <c r="C182" s="101"/>
      <c r="D182" s="101"/>
      <c r="E182" s="101"/>
      <c r="F182" s="101"/>
      <c r="G182" s="101"/>
      <c r="H182" s="103"/>
      <c r="I182" s="101"/>
    </row>
    <row r="183" spans="1:9" ht="14" x14ac:dyDescent="0.3">
      <c r="A183" s="102"/>
      <c r="B183" s="102"/>
      <c r="C183" s="101"/>
      <c r="D183" s="101"/>
      <c r="E183" s="101"/>
      <c r="F183" s="101"/>
      <c r="G183" s="101"/>
      <c r="H183" s="103"/>
      <c r="I183" s="101"/>
    </row>
    <row r="184" spans="1:9" ht="14" x14ac:dyDescent="0.3">
      <c r="A184" s="102"/>
      <c r="B184" s="102"/>
      <c r="C184" s="101"/>
      <c r="D184" s="101"/>
      <c r="E184" s="101"/>
      <c r="F184" s="101"/>
      <c r="G184" s="101"/>
      <c r="H184" s="103"/>
      <c r="I184" s="101"/>
    </row>
    <row r="185" spans="1:9" ht="14" x14ac:dyDescent="0.3">
      <c r="A185" s="102"/>
      <c r="B185" s="102"/>
      <c r="C185" s="101"/>
      <c r="D185" s="101"/>
      <c r="E185" s="101"/>
      <c r="F185" s="101"/>
      <c r="G185" s="101"/>
      <c r="H185" s="103"/>
      <c r="I185" s="101"/>
    </row>
    <row r="186" spans="1:9" ht="14" x14ac:dyDescent="0.3">
      <c r="A186" s="102"/>
      <c r="B186" s="102"/>
      <c r="C186" s="101"/>
      <c r="D186" s="101"/>
      <c r="E186" s="101"/>
      <c r="F186" s="101"/>
      <c r="G186" s="101"/>
      <c r="H186" s="103"/>
      <c r="I186" s="101"/>
    </row>
    <row r="187" spans="1:9" ht="14" x14ac:dyDescent="0.3">
      <c r="A187" s="102"/>
      <c r="B187" s="102"/>
      <c r="C187" s="101"/>
      <c r="D187" s="101"/>
      <c r="E187" s="101"/>
      <c r="F187" s="101"/>
      <c r="G187" s="101"/>
      <c r="H187" s="103"/>
      <c r="I187" s="101"/>
    </row>
    <row r="188" spans="1:9" ht="14" x14ac:dyDescent="0.3">
      <c r="A188" s="102"/>
      <c r="B188" s="102"/>
      <c r="C188" s="101"/>
      <c r="D188" s="101"/>
      <c r="E188" s="101"/>
      <c r="F188" s="101"/>
      <c r="G188" s="101"/>
      <c r="H188" s="103"/>
      <c r="I188" s="101"/>
    </row>
    <row r="189" spans="1:9" ht="14" x14ac:dyDescent="0.3">
      <c r="A189" s="102"/>
      <c r="B189" s="102"/>
      <c r="C189" s="101"/>
      <c r="D189" s="101"/>
      <c r="E189" s="101"/>
      <c r="F189" s="101"/>
      <c r="G189" s="101"/>
      <c r="H189" s="103"/>
      <c r="I189" s="101"/>
    </row>
    <row r="190" spans="1:9" ht="14" x14ac:dyDescent="0.3">
      <c r="A190" s="102"/>
      <c r="B190" s="102"/>
      <c r="C190" s="101"/>
      <c r="D190" s="101"/>
      <c r="E190" s="101"/>
      <c r="F190" s="101"/>
      <c r="G190" s="101"/>
      <c r="H190" s="103"/>
      <c r="I190" s="101"/>
    </row>
    <row r="191" spans="1:9" ht="14" x14ac:dyDescent="0.3">
      <c r="A191" s="102"/>
      <c r="B191" s="102"/>
      <c r="C191" s="101"/>
      <c r="D191" s="101"/>
      <c r="E191" s="101"/>
      <c r="F191" s="101"/>
      <c r="G191" s="101"/>
      <c r="H191" s="103"/>
      <c r="I191" s="101"/>
    </row>
    <row r="192" spans="1:9" ht="14" x14ac:dyDescent="0.3">
      <c r="A192" s="102"/>
      <c r="B192" s="102"/>
      <c r="C192" s="101"/>
      <c r="D192" s="101"/>
      <c r="E192" s="101"/>
      <c r="F192" s="101"/>
      <c r="G192" s="101"/>
      <c r="H192" s="103"/>
      <c r="I192" s="101"/>
    </row>
    <row r="193" spans="1:9" ht="14" x14ac:dyDescent="0.3">
      <c r="A193" s="102"/>
      <c r="B193" s="102"/>
      <c r="C193" s="101"/>
      <c r="D193" s="101"/>
      <c r="E193" s="101"/>
      <c r="F193" s="101"/>
      <c r="G193" s="101"/>
      <c r="H193" s="103"/>
      <c r="I193" s="101"/>
    </row>
    <row r="194" spans="1:9" ht="14" x14ac:dyDescent="0.3">
      <c r="A194" s="102"/>
      <c r="B194" s="102"/>
      <c r="C194" s="101"/>
      <c r="D194" s="101"/>
      <c r="E194" s="101"/>
      <c r="F194" s="101"/>
      <c r="G194" s="101"/>
      <c r="H194" s="103"/>
      <c r="I194" s="101"/>
    </row>
    <row r="195" spans="1:9" ht="14" x14ac:dyDescent="0.3">
      <c r="A195" s="102"/>
      <c r="B195" s="102"/>
      <c r="C195" s="101"/>
      <c r="D195" s="101"/>
      <c r="E195" s="101"/>
      <c r="F195" s="101"/>
      <c r="G195" s="101"/>
      <c r="H195" s="103"/>
      <c r="I195" s="101"/>
    </row>
    <row r="196" spans="1:9" ht="14" x14ac:dyDescent="0.3">
      <c r="A196" s="102"/>
      <c r="B196" s="102"/>
      <c r="C196" s="101"/>
      <c r="D196" s="101"/>
      <c r="E196" s="101"/>
      <c r="F196" s="101"/>
      <c r="G196" s="101"/>
      <c r="H196" s="103"/>
      <c r="I196" s="101"/>
    </row>
    <row r="197" spans="1:9" ht="14" x14ac:dyDescent="0.3">
      <c r="A197" s="102"/>
      <c r="B197" s="102"/>
      <c r="C197" s="101"/>
      <c r="D197" s="101"/>
      <c r="E197" s="101"/>
      <c r="F197" s="101"/>
      <c r="G197" s="101"/>
      <c r="H197" s="103"/>
      <c r="I197" s="101"/>
    </row>
    <row r="198" spans="1:9" ht="14" x14ac:dyDescent="0.3">
      <c r="A198" s="102"/>
      <c r="B198" s="102"/>
      <c r="C198" s="101"/>
      <c r="D198" s="101"/>
      <c r="E198" s="101"/>
      <c r="F198" s="101"/>
      <c r="G198" s="101"/>
      <c r="H198" s="103"/>
      <c r="I198" s="101"/>
    </row>
    <row r="199" spans="1:9" ht="14" x14ac:dyDescent="0.3">
      <c r="A199" s="102"/>
      <c r="B199" s="102"/>
      <c r="C199" s="101"/>
      <c r="D199" s="101"/>
      <c r="E199" s="101"/>
      <c r="F199" s="101"/>
      <c r="G199" s="101"/>
      <c r="H199" s="103"/>
      <c r="I199" s="101"/>
    </row>
    <row r="200" spans="1:9" ht="14" x14ac:dyDescent="0.3">
      <c r="A200" s="102"/>
      <c r="B200" s="102"/>
      <c r="C200" s="101"/>
      <c r="D200" s="101"/>
      <c r="E200" s="101"/>
      <c r="F200" s="101"/>
      <c r="G200" s="101"/>
      <c r="H200" s="103"/>
      <c r="I200" s="101"/>
    </row>
    <row r="201" spans="1:9" ht="14" x14ac:dyDescent="0.3">
      <c r="A201" s="102"/>
      <c r="B201" s="102"/>
      <c r="C201" s="101"/>
      <c r="D201" s="101"/>
      <c r="E201" s="101"/>
      <c r="F201" s="101"/>
      <c r="G201" s="101"/>
      <c r="H201" s="103"/>
      <c r="I201" s="101"/>
    </row>
    <row r="202" spans="1:9" ht="14" x14ac:dyDescent="0.3">
      <c r="A202" s="102"/>
      <c r="B202" s="102"/>
      <c r="C202" s="101"/>
      <c r="D202" s="101"/>
      <c r="E202" s="101"/>
      <c r="F202" s="101"/>
      <c r="G202" s="101"/>
      <c r="H202" s="103"/>
      <c r="I202" s="101"/>
    </row>
    <row r="203" spans="1:9" ht="14" x14ac:dyDescent="0.3">
      <c r="A203" s="102"/>
      <c r="B203" s="102"/>
      <c r="C203" s="101"/>
      <c r="D203" s="101"/>
      <c r="E203" s="101"/>
      <c r="F203" s="101"/>
      <c r="G203" s="101"/>
      <c r="H203" s="103"/>
      <c r="I203" s="101"/>
    </row>
    <row r="204" spans="1:9" ht="14" x14ac:dyDescent="0.3">
      <c r="A204" s="102"/>
      <c r="B204" s="102"/>
      <c r="C204" s="101"/>
      <c r="D204" s="101"/>
      <c r="E204" s="101"/>
      <c r="F204" s="101"/>
      <c r="G204" s="101"/>
      <c r="H204" s="103"/>
      <c r="I204" s="101"/>
    </row>
    <row r="205" spans="1:9" ht="14" x14ac:dyDescent="0.3">
      <c r="A205" s="102"/>
      <c r="B205" s="102"/>
      <c r="C205" s="101"/>
      <c r="D205" s="101"/>
      <c r="E205" s="101"/>
      <c r="F205" s="101"/>
      <c r="G205" s="101"/>
      <c r="H205" s="103"/>
      <c r="I205" s="101"/>
    </row>
    <row r="206" spans="1:9" ht="14" x14ac:dyDescent="0.3">
      <c r="A206" s="102"/>
      <c r="B206" s="102"/>
      <c r="C206" s="101"/>
      <c r="D206" s="101"/>
      <c r="E206" s="101"/>
      <c r="F206" s="101"/>
      <c r="G206" s="101"/>
      <c r="H206" s="103"/>
      <c r="I206" s="101"/>
    </row>
    <row r="207" spans="1:9" ht="14" x14ac:dyDescent="0.3">
      <c r="A207" s="102"/>
      <c r="B207" s="102"/>
      <c r="C207" s="101"/>
      <c r="D207" s="101"/>
      <c r="E207" s="101"/>
      <c r="F207" s="101"/>
      <c r="G207" s="101"/>
      <c r="H207" s="103"/>
      <c r="I207" s="101"/>
    </row>
    <row r="208" spans="1:9" ht="14" x14ac:dyDescent="0.3">
      <c r="A208" s="102"/>
      <c r="B208" s="102"/>
      <c r="C208" s="101"/>
      <c r="D208" s="101"/>
      <c r="E208" s="101"/>
      <c r="F208" s="101"/>
      <c r="G208" s="101"/>
      <c r="H208" s="103"/>
      <c r="I208" s="101"/>
    </row>
    <row r="209" spans="1:9" ht="14" x14ac:dyDescent="0.3">
      <c r="A209" s="102"/>
      <c r="B209" s="102"/>
      <c r="C209" s="101"/>
      <c r="D209" s="101"/>
      <c r="E209" s="101"/>
      <c r="F209" s="101"/>
      <c r="G209" s="101"/>
      <c r="H209" s="103"/>
      <c r="I209" s="101"/>
    </row>
    <row r="210" spans="1:9" ht="14" x14ac:dyDescent="0.3">
      <c r="A210" s="102"/>
      <c r="B210" s="102"/>
      <c r="C210" s="101"/>
      <c r="D210" s="101"/>
      <c r="E210" s="101"/>
      <c r="F210" s="101"/>
      <c r="G210" s="101"/>
      <c r="H210" s="103"/>
      <c r="I210" s="101"/>
    </row>
    <row r="211" spans="1:9" ht="14" x14ac:dyDescent="0.3">
      <c r="A211" s="102"/>
      <c r="B211" s="102"/>
      <c r="C211" s="101"/>
      <c r="D211" s="101"/>
      <c r="E211" s="101"/>
      <c r="F211" s="101"/>
      <c r="G211" s="101"/>
      <c r="H211" s="103"/>
      <c r="I211" s="101"/>
    </row>
    <row r="212" spans="1:9" ht="14" x14ac:dyDescent="0.3">
      <c r="A212" s="102"/>
      <c r="B212" s="102"/>
      <c r="C212" s="101"/>
      <c r="D212" s="101"/>
      <c r="E212" s="101"/>
      <c r="F212" s="101"/>
      <c r="G212" s="101"/>
      <c r="H212" s="103"/>
      <c r="I212" s="101"/>
    </row>
    <row r="213" spans="1:9" ht="14" x14ac:dyDescent="0.3">
      <c r="A213" s="102"/>
      <c r="B213" s="102"/>
      <c r="C213" s="101"/>
      <c r="D213" s="101"/>
      <c r="E213" s="101"/>
      <c r="F213" s="101"/>
      <c r="G213" s="101"/>
      <c r="H213" s="103"/>
      <c r="I213" s="101"/>
    </row>
    <row r="214" spans="1:9" ht="14" x14ac:dyDescent="0.3">
      <c r="A214" s="102"/>
      <c r="B214" s="102"/>
      <c r="C214" s="101"/>
      <c r="D214" s="101"/>
      <c r="E214" s="101"/>
      <c r="F214" s="101"/>
      <c r="G214" s="101"/>
      <c r="H214" s="103"/>
      <c r="I214" s="101"/>
    </row>
    <row r="215" spans="1:9" ht="14" x14ac:dyDescent="0.3">
      <c r="A215" s="102"/>
      <c r="B215" s="102"/>
      <c r="C215" s="101"/>
      <c r="D215" s="101"/>
      <c r="E215" s="101"/>
      <c r="F215" s="101"/>
      <c r="G215" s="101"/>
      <c r="H215" s="103"/>
      <c r="I215" s="101"/>
    </row>
    <row r="216" spans="1:9" ht="14" x14ac:dyDescent="0.3">
      <c r="A216" s="102"/>
      <c r="B216" s="102"/>
      <c r="C216" s="101"/>
      <c r="D216" s="101"/>
      <c r="E216" s="101"/>
      <c r="F216" s="101"/>
      <c r="G216" s="101"/>
      <c r="H216" s="103"/>
      <c r="I216" s="101"/>
    </row>
    <row r="217" spans="1:9" ht="14" x14ac:dyDescent="0.3">
      <c r="A217" s="102"/>
      <c r="B217" s="102"/>
      <c r="C217" s="101"/>
      <c r="D217" s="101"/>
      <c r="E217" s="101"/>
      <c r="F217" s="101"/>
      <c r="G217" s="101"/>
      <c r="H217" s="103"/>
      <c r="I217" s="101"/>
    </row>
    <row r="218" spans="1:9" ht="14" x14ac:dyDescent="0.3">
      <c r="A218" s="102"/>
      <c r="B218" s="102"/>
      <c r="C218" s="101"/>
      <c r="D218" s="101"/>
      <c r="E218" s="101"/>
      <c r="F218" s="101"/>
      <c r="G218" s="101"/>
      <c r="H218" s="103"/>
      <c r="I218" s="101"/>
    </row>
    <row r="219" spans="1:9" ht="14" x14ac:dyDescent="0.3">
      <c r="A219" s="102"/>
      <c r="B219" s="102"/>
      <c r="C219" s="101"/>
      <c r="D219" s="101"/>
      <c r="E219" s="101"/>
      <c r="F219" s="101"/>
      <c r="G219" s="101"/>
      <c r="H219" s="103"/>
      <c r="I219" s="101"/>
    </row>
    <row r="220" spans="1:9" ht="14" x14ac:dyDescent="0.3">
      <c r="A220" s="102"/>
      <c r="B220" s="102"/>
      <c r="C220" s="101"/>
      <c r="D220" s="101"/>
      <c r="E220" s="101"/>
      <c r="F220" s="101"/>
      <c r="G220" s="101"/>
      <c r="H220" s="103"/>
      <c r="I220" s="101"/>
    </row>
    <row r="221" spans="1:9" ht="14" x14ac:dyDescent="0.3">
      <c r="A221" s="102"/>
      <c r="B221" s="102"/>
      <c r="C221" s="101"/>
      <c r="D221" s="101"/>
      <c r="E221" s="101"/>
      <c r="F221" s="101"/>
      <c r="G221" s="101"/>
      <c r="H221" s="103"/>
      <c r="I221" s="101"/>
    </row>
    <row r="222" spans="1:9" ht="14" x14ac:dyDescent="0.3">
      <c r="A222" s="102"/>
      <c r="B222" s="102"/>
      <c r="C222" s="101"/>
      <c r="D222" s="101"/>
      <c r="E222" s="101"/>
      <c r="F222" s="101"/>
      <c r="G222" s="101"/>
      <c r="H222" s="103"/>
      <c r="I222" s="101"/>
    </row>
    <row r="223" spans="1:9" ht="14" x14ac:dyDescent="0.3">
      <c r="A223" s="102"/>
      <c r="B223" s="102"/>
      <c r="C223" s="101"/>
      <c r="D223" s="101"/>
      <c r="E223" s="101"/>
      <c r="F223" s="101"/>
      <c r="G223" s="101"/>
      <c r="H223" s="103"/>
      <c r="I223" s="101"/>
    </row>
    <row r="224" spans="1:9" ht="14" x14ac:dyDescent="0.3">
      <c r="A224" s="102"/>
      <c r="B224" s="102"/>
      <c r="C224" s="101"/>
      <c r="D224" s="101"/>
      <c r="E224" s="101"/>
      <c r="F224" s="101"/>
      <c r="G224" s="101"/>
      <c r="H224" s="103"/>
      <c r="I224" s="101"/>
    </row>
    <row r="225" spans="1:9" ht="14" x14ac:dyDescent="0.3">
      <c r="A225" s="102"/>
      <c r="B225" s="102"/>
      <c r="C225" s="101"/>
      <c r="D225" s="101"/>
      <c r="E225" s="101"/>
      <c r="F225" s="101"/>
      <c r="G225" s="101"/>
      <c r="H225" s="103"/>
      <c r="I225" s="101"/>
    </row>
    <row r="226" spans="1:9" ht="14" x14ac:dyDescent="0.3">
      <c r="A226" s="102"/>
      <c r="B226" s="102"/>
      <c r="C226" s="101"/>
      <c r="D226" s="101"/>
      <c r="E226" s="101"/>
      <c r="F226" s="101"/>
      <c r="G226" s="101"/>
      <c r="H226" s="103"/>
      <c r="I226" s="101"/>
    </row>
    <row r="227" spans="1:9" ht="14" x14ac:dyDescent="0.3">
      <c r="A227" s="102"/>
      <c r="B227" s="102"/>
      <c r="C227" s="101"/>
      <c r="D227" s="101"/>
      <c r="E227" s="101"/>
      <c r="F227" s="101"/>
      <c r="G227" s="101"/>
      <c r="H227" s="103"/>
      <c r="I227" s="101"/>
    </row>
    <row r="228" spans="1:9" ht="14" x14ac:dyDescent="0.3">
      <c r="A228" s="102"/>
      <c r="B228" s="102"/>
      <c r="C228" s="101"/>
      <c r="D228" s="101"/>
      <c r="E228" s="101"/>
      <c r="F228" s="101"/>
      <c r="G228" s="101"/>
      <c r="H228" s="103"/>
      <c r="I228" s="101"/>
    </row>
    <row r="229" spans="1:9" ht="14" x14ac:dyDescent="0.3">
      <c r="A229" s="102"/>
      <c r="B229" s="102"/>
      <c r="C229" s="101"/>
      <c r="D229" s="101"/>
      <c r="E229" s="101"/>
      <c r="F229" s="101"/>
      <c r="G229" s="101"/>
      <c r="H229" s="103"/>
      <c r="I229" s="101"/>
    </row>
    <row r="230" spans="1:9" ht="14" x14ac:dyDescent="0.3">
      <c r="A230" s="102"/>
      <c r="B230" s="102"/>
      <c r="C230" s="101"/>
      <c r="D230" s="101"/>
      <c r="E230" s="101"/>
      <c r="F230" s="101"/>
      <c r="G230" s="101"/>
      <c r="H230" s="103"/>
      <c r="I230" s="101"/>
    </row>
    <row r="231" spans="1:9" ht="14" x14ac:dyDescent="0.3">
      <c r="A231" s="102"/>
      <c r="B231" s="102"/>
      <c r="C231" s="101"/>
      <c r="D231" s="101"/>
      <c r="E231" s="101"/>
      <c r="F231" s="101"/>
      <c r="G231" s="101"/>
      <c r="H231" s="103"/>
      <c r="I231" s="101"/>
    </row>
    <row r="232" spans="1:9" ht="14" x14ac:dyDescent="0.3">
      <c r="A232" s="102"/>
      <c r="B232" s="102"/>
      <c r="C232" s="101"/>
      <c r="D232" s="101"/>
      <c r="E232" s="101"/>
      <c r="F232" s="101"/>
      <c r="G232" s="101"/>
      <c r="H232" s="103"/>
      <c r="I232" s="101"/>
    </row>
    <row r="233" spans="1:9" ht="14" x14ac:dyDescent="0.3">
      <c r="A233" s="102"/>
      <c r="B233" s="102"/>
      <c r="C233" s="101"/>
      <c r="D233" s="101"/>
      <c r="E233" s="101"/>
      <c r="F233" s="101"/>
      <c r="G233" s="101"/>
      <c r="H233" s="103"/>
      <c r="I233" s="101"/>
    </row>
    <row r="234" spans="1:9" ht="14" x14ac:dyDescent="0.3">
      <c r="A234" s="102"/>
      <c r="B234" s="102"/>
      <c r="C234" s="101"/>
      <c r="D234" s="101"/>
      <c r="E234" s="101"/>
      <c r="F234" s="101"/>
      <c r="G234" s="101"/>
      <c r="H234" s="103"/>
      <c r="I234" s="101"/>
    </row>
    <row r="235" spans="1:9" ht="14" x14ac:dyDescent="0.3">
      <c r="A235" s="102"/>
      <c r="B235" s="102"/>
      <c r="C235" s="101"/>
      <c r="D235" s="101"/>
      <c r="E235" s="101"/>
      <c r="F235" s="101"/>
      <c r="G235" s="101"/>
      <c r="H235" s="103"/>
      <c r="I235" s="101"/>
    </row>
    <row r="236" spans="1:9" ht="14" x14ac:dyDescent="0.3">
      <c r="A236" s="102"/>
      <c r="B236" s="102"/>
      <c r="C236" s="101"/>
      <c r="D236" s="101"/>
      <c r="E236" s="101"/>
      <c r="F236" s="101"/>
      <c r="G236" s="101"/>
      <c r="H236" s="103"/>
      <c r="I236" s="101"/>
    </row>
    <row r="237" spans="1:9" ht="14" x14ac:dyDescent="0.3">
      <c r="A237" s="102"/>
      <c r="B237" s="102"/>
      <c r="C237" s="101"/>
      <c r="D237" s="101"/>
      <c r="E237" s="101"/>
      <c r="F237" s="101"/>
      <c r="G237" s="101"/>
      <c r="H237" s="103"/>
      <c r="I237" s="101"/>
    </row>
    <row r="238" spans="1:9" ht="14" x14ac:dyDescent="0.3">
      <c r="A238" s="102"/>
      <c r="B238" s="102"/>
      <c r="C238" s="101"/>
      <c r="D238" s="101"/>
      <c r="E238" s="101"/>
      <c r="F238" s="101"/>
      <c r="G238" s="101"/>
      <c r="H238" s="103"/>
      <c r="I238" s="101"/>
    </row>
    <row r="239" spans="1:9" ht="14" x14ac:dyDescent="0.3">
      <c r="A239" s="102"/>
      <c r="B239" s="102"/>
      <c r="C239" s="101"/>
      <c r="D239" s="101"/>
      <c r="E239" s="101"/>
      <c r="F239" s="101"/>
      <c r="G239" s="101"/>
      <c r="H239" s="103"/>
      <c r="I239" s="101"/>
    </row>
    <row r="240" spans="1:9" ht="14" x14ac:dyDescent="0.3">
      <c r="A240" s="102"/>
      <c r="B240" s="102"/>
      <c r="C240" s="101"/>
      <c r="D240" s="101"/>
      <c r="E240" s="101"/>
      <c r="F240" s="101"/>
      <c r="G240" s="101"/>
      <c r="H240" s="103"/>
      <c r="I240" s="101"/>
    </row>
    <row r="241" spans="1:9" ht="14" x14ac:dyDescent="0.3">
      <c r="A241" s="102"/>
      <c r="B241" s="102"/>
      <c r="C241" s="101"/>
      <c r="D241" s="101"/>
      <c r="E241" s="101"/>
      <c r="F241" s="101"/>
      <c r="G241" s="101"/>
      <c r="H241" s="103"/>
      <c r="I241" s="101"/>
    </row>
    <row r="242" spans="1:9" ht="14" x14ac:dyDescent="0.3">
      <c r="A242" s="102"/>
      <c r="B242" s="102"/>
      <c r="C242" s="101"/>
      <c r="D242" s="101"/>
      <c r="E242" s="101"/>
      <c r="F242" s="101"/>
      <c r="G242" s="101"/>
      <c r="H242" s="103"/>
      <c r="I242" s="101"/>
    </row>
    <row r="243" spans="1:9" ht="14" x14ac:dyDescent="0.3">
      <c r="A243" s="102"/>
      <c r="B243" s="102"/>
      <c r="C243" s="101"/>
      <c r="D243" s="101"/>
      <c r="E243" s="101"/>
      <c r="F243" s="101"/>
      <c r="G243" s="101"/>
      <c r="H243" s="103"/>
      <c r="I243" s="101"/>
    </row>
    <row r="244" spans="1:9" ht="14" x14ac:dyDescent="0.3">
      <c r="A244" s="102"/>
      <c r="B244" s="102"/>
      <c r="C244" s="101"/>
      <c r="D244" s="101"/>
      <c r="E244" s="101"/>
      <c r="F244" s="101"/>
      <c r="G244" s="101"/>
      <c r="H244" s="103"/>
      <c r="I244" s="101"/>
    </row>
    <row r="245" spans="1:9" ht="14" x14ac:dyDescent="0.3">
      <c r="A245" s="102"/>
      <c r="B245" s="102"/>
      <c r="C245" s="101"/>
      <c r="D245" s="101"/>
      <c r="E245" s="101"/>
      <c r="F245" s="101"/>
      <c r="G245" s="101"/>
      <c r="H245" s="103"/>
      <c r="I245" s="101"/>
    </row>
    <row r="246" spans="1:9" ht="14" x14ac:dyDescent="0.3">
      <c r="A246" s="102"/>
      <c r="B246" s="102"/>
      <c r="C246" s="101"/>
      <c r="D246" s="101"/>
      <c r="E246" s="101"/>
      <c r="F246" s="101"/>
      <c r="G246" s="101"/>
      <c r="H246" s="103"/>
      <c r="I246" s="101"/>
    </row>
    <row r="247" spans="1:9" ht="14" x14ac:dyDescent="0.3">
      <c r="A247" s="102"/>
      <c r="B247" s="102"/>
      <c r="C247" s="101"/>
      <c r="D247" s="101"/>
      <c r="E247" s="101"/>
      <c r="F247" s="101"/>
      <c r="G247" s="101"/>
      <c r="H247" s="103"/>
      <c r="I247" s="101"/>
    </row>
    <row r="248" spans="1:9" ht="14" x14ac:dyDescent="0.3">
      <c r="A248" s="102"/>
      <c r="B248" s="102"/>
      <c r="C248" s="101"/>
      <c r="D248" s="101"/>
      <c r="E248" s="101"/>
      <c r="F248" s="101"/>
      <c r="G248" s="101"/>
      <c r="H248" s="103"/>
      <c r="I248" s="101"/>
    </row>
    <row r="249" spans="1:9" ht="14" x14ac:dyDescent="0.3">
      <c r="A249" s="102"/>
      <c r="B249" s="102"/>
      <c r="C249" s="101"/>
      <c r="D249" s="101"/>
      <c r="E249" s="101"/>
      <c r="F249" s="101"/>
      <c r="G249" s="101"/>
      <c r="H249" s="103"/>
      <c r="I249" s="101"/>
    </row>
    <row r="250" spans="1:9" ht="14" x14ac:dyDescent="0.3">
      <c r="A250" s="102"/>
      <c r="B250" s="102"/>
      <c r="C250" s="101"/>
      <c r="D250" s="101"/>
      <c r="E250" s="101"/>
      <c r="F250" s="101"/>
      <c r="G250" s="101"/>
      <c r="H250" s="103"/>
      <c r="I250" s="101"/>
    </row>
    <row r="251" spans="1:9" ht="14" x14ac:dyDescent="0.3">
      <c r="A251" s="102"/>
      <c r="B251" s="102"/>
      <c r="C251" s="101"/>
      <c r="D251" s="101"/>
      <c r="E251" s="101"/>
      <c r="F251" s="101"/>
      <c r="G251" s="101"/>
      <c r="H251" s="103"/>
      <c r="I251" s="101"/>
    </row>
    <row r="252" spans="1:9" ht="14" x14ac:dyDescent="0.3">
      <c r="A252" s="102"/>
      <c r="B252" s="102"/>
      <c r="C252" s="101"/>
      <c r="D252" s="101"/>
      <c r="E252" s="101"/>
      <c r="F252" s="101"/>
      <c r="G252" s="101"/>
      <c r="H252" s="103"/>
      <c r="I252" s="101"/>
    </row>
    <row r="253" spans="1:9" ht="14" x14ac:dyDescent="0.3">
      <c r="A253" s="102"/>
      <c r="B253" s="102"/>
      <c r="C253" s="101"/>
      <c r="D253" s="101"/>
      <c r="E253" s="101"/>
      <c r="F253" s="101"/>
      <c r="G253" s="101"/>
      <c r="H253" s="103"/>
      <c r="I253" s="101"/>
    </row>
    <row r="254" spans="1:9" ht="14" x14ac:dyDescent="0.3">
      <c r="A254" s="102"/>
      <c r="B254" s="102"/>
      <c r="C254" s="101"/>
      <c r="D254" s="101"/>
      <c r="E254" s="101"/>
      <c r="F254" s="101"/>
      <c r="G254" s="101"/>
      <c r="H254" s="103"/>
      <c r="I254" s="101"/>
    </row>
    <row r="255" spans="1:9" ht="14" x14ac:dyDescent="0.3">
      <c r="A255" s="102"/>
      <c r="B255" s="102"/>
      <c r="C255" s="101"/>
      <c r="D255" s="101"/>
      <c r="E255" s="101"/>
      <c r="F255" s="101"/>
      <c r="G255" s="101"/>
      <c r="H255" s="103"/>
      <c r="I255" s="101"/>
    </row>
    <row r="256" spans="1:9" ht="14" x14ac:dyDescent="0.3">
      <c r="A256" s="102"/>
      <c r="B256" s="102"/>
      <c r="C256" s="101"/>
      <c r="D256" s="101"/>
      <c r="E256" s="101"/>
      <c r="F256" s="101"/>
      <c r="G256" s="101"/>
      <c r="H256" s="103"/>
      <c r="I256" s="101"/>
    </row>
    <row r="257" spans="1:9" ht="14" x14ac:dyDescent="0.3">
      <c r="A257" s="102"/>
      <c r="B257" s="102"/>
      <c r="C257" s="101"/>
      <c r="D257" s="101"/>
      <c r="E257" s="101"/>
      <c r="F257" s="101"/>
      <c r="G257" s="101"/>
      <c r="H257" s="103"/>
      <c r="I257" s="101"/>
    </row>
    <row r="258" spans="1:9" ht="14" x14ac:dyDescent="0.3">
      <c r="A258" s="102"/>
      <c r="B258" s="102"/>
      <c r="C258" s="101"/>
      <c r="D258" s="101"/>
      <c r="E258" s="101"/>
      <c r="F258" s="101"/>
      <c r="G258" s="101"/>
      <c r="H258" s="103"/>
      <c r="I258" s="101"/>
    </row>
    <row r="259" spans="1:9" ht="14" x14ac:dyDescent="0.3">
      <c r="A259" s="102"/>
      <c r="B259" s="102"/>
      <c r="C259" s="101"/>
      <c r="D259" s="101"/>
      <c r="E259" s="101"/>
      <c r="F259" s="101"/>
      <c r="G259" s="101"/>
      <c r="H259" s="103"/>
      <c r="I259" s="101"/>
    </row>
    <row r="260" spans="1:9" ht="14" x14ac:dyDescent="0.3">
      <c r="A260" s="102"/>
      <c r="B260" s="102"/>
      <c r="C260" s="101"/>
      <c r="D260" s="101"/>
      <c r="E260" s="101"/>
      <c r="F260" s="101"/>
      <c r="G260" s="101"/>
      <c r="H260" s="103"/>
      <c r="I260" s="101"/>
    </row>
    <row r="261" spans="1:9" ht="14" x14ac:dyDescent="0.3">
      <c r="A261" s="102"/>
      <c r="B261" s="102"/>
      <c r="C261" s="101"/>
      <c r="D261" s="101"/>
      <c r="E261" s="101"/>
      <c r="F261" s="101"/>
      <c r="G261" s="101"/>
      <c r="H261" s="103"/>
      <c r="I261" s="101"/>
    </row>
    <row r="262" spans="1:9" ht="14" x14ac:dyDescent="0.3">
      <c r="A262" s="102"/>
      <c r="B262" s="102"/>
      <c r="C262" s="101"/>
      <c r="D262" s="101"/>
      <c r="E262" s="101"/>
      <c r="F262" s="101"/>
      <c r="G262" s="101"/>
      <c r="H262" s="103"/>
      <c r="I262" s="101"/>
    </row>
    <row r="263" spans="1:9" ht="14" x14ac:dyDescent="0.3">
      <c r="A263" s="102"/>
      <c r="B263" s="102"/>
      <c r="C263" s="101"/>
      <c r="D263" s="101"/>
      <c r="E263" s="101"/>
      <c r="F263" s="101"/>
      <c r="G263" s="101"/>
      <c r="H263" s="103"/>
      <c r="I263" s="101"/>
    </row>
    <row r="264" spans="1:9" ht="14" x14ac:dyDescent="0.3">
      <c r="A264" s="102"/>
      <c r="B264" s="102"/>
      <c r="C264" s="101"/>
      <c r="D264" s="101"/>
      <c r="E264" s="101"/>
      <c r="F264" s="101"/>
      <c r="G264" s="101"/>
      <c r="H264" s="103"/>
      <c r="I264" s="101"/>
    </row>
  </sheetData>
  <mergeCells count="7">
    <mergeCell ref="AA10:AB10"/>
    <mergeCell ref="E10:G10"/>
    <mergeCell ref="I10:K10"/>
    <mergeCell ref="M10:N10"/>
    <mergeCell ref="P10:R10"/>
    <mergeCell ref="T10:U10"/>
    <mergeCell ref="W10:Y10"/>
  </mergeCells>
  <pageMargins left="0.7" right="0.7" top="0.75" bottom="0.75" header="0.3" footer="0.3"/>
  <pageSetup scale="35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33F5-E610-4754-AA70-EE65687AAF1A}">
  <sheetPr>
    <tabColor theme="3" tint="0.59999389629810485"/>
    <pageSetUpPr fitToPage="1"/>
  </sheetPr>
  <dimension ref="A1:AC165"/>
  <sheetViews>
    <sheetView zoomScaleNormal="100" workbookViewId="0"/>
  </sheetViews>
  <sheetFormatPr defaultColWidth="8.7265625" defaultRowHeight="13" x14ac:dyDescent="0.3"/>
  <cols>
    <col min="1" max="1" width="4" style="68" customWidth="1"/>
    <col min="2" max="2" width="4.453125" style="68" bestFit="1" customWidth="1"/>
    <col min="3" max="7" width="12" style="68" customWidth="1"/>
    <col min="8" max="8" width="2" style="68" customWidth="1"/>
    <col min="9" max="11" width="12" style="68" customWidth="1"/>
    <col min="12" max="12" width="2" style="68" customWidth="1"/>
    <col min="13" max="14" width="12" style="68" customWidth="1"/>
    <col min="15" max="15" width="2" style="68" customWidth="1"/>
    <col min="16" max="18" width="12" style="68" customWidth="1"/>
    <col min="19" max="19" width="2" style="68" customWidth="1"/>
    <col min="20" max="21" width="12" style="68" customWidth="1"/>
    <col min="22" max="22" width="2" style="68" customWidth="1"/>
    <col min="23" max="25" width="12" style="68" customWidth="1"/>
    <col min="26" max="26" width="2" style="68" customWidth="1"/>
    <col min="27" max="28" width="12" style="68" customWidth="1"/>
    <col min="29" max="16384" width="8.7265625" style="68"/>
  </cols>
  <sheetData>
    <row r="1" spans="1:28" x14ac:dyDescent="0.3">
      <c r="A1" s="67">
        <v>1</v>
      </c>
    </row>
    <row r="2" spans="1:28" x14ac:dyDescent="0.3">
      <c r="A2" s="67">
        <f>A1+1</f>
        <v>2</v>
      </c>
    </row>
    <row r="3" spans="1:28" ht="14" x14ac:dyDescent="0.3">
      <c r="A3" s="67">
        <f t="shared" ref="A3:A66" si="0">A2+1</f>
        <v>3</v>
      </c>
      <c r="B3" s="24" t="s">
        <v>40</v>
      </c>
    </row>
    <row r="4" spans="1:28" ht="14" x14ac:dyDescent="0.3">
      <c r="A4" s="67">
        <f t="shared" si="0"/>
        <v>4</v>
      </c>
      <c r="B4" s="24" t="s">
        <v>41</v>
      </c>
      <c r="C4" s="165"/>
      <c r="D4" s="44"/>
      <c r="E4" s="149"/>
      <c r="F4" s="22"/>
      <c r="G4" s="150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8" ht="14" x14ac:dyDescent="0.3">
      <c r="A5" s="67">
        <f t="shared" si="0"/>
        <v>5</v>
      </c>
      <c r="B5" s="24"/>
      <c r="C5" s="165"/>
      <c r="D5" s="44"/>
      <c r="E5" s="149"/>
      <c r="F5" s="22"/>
      <c r="G5" s="150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28" ht="14" x14ac:dyDescent="0.3">
      <c r="A6" s="67">
        <f t="shared" si="0"/>
        <v>6</v>
      </c>
      <c r="B6" s="24" t="s">
        <v>137</v>
      </c>
      <c r="C6" s="165"/>
      <c r="D6" s="44"/>
      <c r="E6" s="149"/>
      <c r="F6" s="22"/>
      <c r="G6" s="150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8" ht="14" x14ac:dyDescent="0.3">
      <c r="A7" s="67">
        <f t="shared" si="0"/>
        <v>7</v>
      </c>
      <c r="B7" s="24" t="s">
        <v>145</v>
      </c>
      <c r="C7" s="165"/>
      <c r="D7" s="44"/>
      <c r="E7" s="149"/>
      <c r="F7" s="22"/>
      <c r="G7" s="150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8" ht="14" x14ac:dyDescent="0.3">
      <c r="A8" s="67">
        <f t="shared" si="0"/>
        <v>8</v>
      </c>
      <c r="B8" s="166"/>
      <c r="C8" s="165"/>
      <c r="D8" s="44"/>
      <c r="E8" s="149"/>
      <c r="F8" s="22"/>
      <c r="G8" s="150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8" ht="14" x14ac:dyDescent="0.3">
      <c r="A9" s="67">
        <f t="shared" si="0"/>
        <v>9</v>
      </c>
      <c r="B9" s="104"/>
      <c r="C9" s="44"/>
      <c r="D9" s="44"/>
      <c r="E9" s="44"/>
      <c r="F9" s="44"/>
      <c r="G9" s="132"/>
      <c r="H9" s="44"/>
    </row>
    <row r="10" spans="1:28" ht="14" x14ac:dyDescent="0.3">
      <c r="A10" s="67">
        <f t="shared" si="0"/>
        <v>10</v>
      </c>
      <c r="B10" s="31"/>
      <c r="C10" s="44"/>
      <c r="D10" s="44"/>
      <c r="E10" s="44"/>
      <c r="F10" s="44"/>
      <c r="G10" s="132"/>
      <c r="H10" s="44"/>
    </row>
    <row r="11" spans="1:28" ht="14" x14ac:dyDescent="0.3">
      <c r="A11" s="67">
        <f t="shared" si="0"/>
        <v>11</v>
      </c>
      <c r="B11" s="31"/>
      <c r="C11" s="104" t="s">
        <v>2</v>
      </c>
      <c r="D11" s="104" t="s">
        <v>2</v>
      </c>
      <c r="E11" s="32" t="str">
        <f>'EMA R1'!D10</f>
        <v>2024 Monthly Bill</v>
      </c>
      <c r="F11" s="32"/>
      <c r="G11" s="32"/>
      <c r="H11" s="133"/>
      <c r="I11" s="32" t="str">
        <f>'EMA R1'!H10</f>
        <v>2025 Illustrative Monthly Bill</v>
      </c>
      <c r="J11" s="32"/>
      <c r="K11" s="32"/>
      <c r="L11" s="23"/>
      <c r="M11" s="32" t="str">
        <f>'EMA R1'!L10</f>
        <v>2025 vs. 2024</v>
      </c>
      <c r="N11" s="32"/>
      <c r="O11" s="27"/>
      <c r="P11" s="32" t="str">
        <f>'EMA R1'!O10</f>
        <v>2026 Illustrative Monthly Bill</v>
      </c>
      <c r="Q11" s="32"/>
      <c r="R11" s="32"/>
      <c r="S11" s="133"/>
      <c r="T11" s="32" t="str">
        <f>'EMA R1'!S10</f>
        <v>2026 vs. 2025</v>
      </c>
      <c r="U11" s="32"/>
      <c r="V11" s="23"/>
      <c r="W11" s="32" t="str">
        <f>'EMA R1'!V10</f>
        <v>2027 Illustrative Monthly Bill</v>
      </c>
      <c r="X11" s="32"/>
      <c r="Y11" s="32"/>
      <c r="Z11" s="133"/>
      <c r="AA11" s="32" t="str">
        <f>'EMA R1'!Z10</f>
        <v>2027 vs. 2026</v>
      </c>
      <c r="AB11" s="32"/>
    </row>
    <row r="12" spans="1:28" ht="14" x14ac:dyDescent="0.3">
      <c r="A12" s="67">
        <f t="shared" si="0"/>
        <v>12</v>
      </c>
      <c r="B12" s="31"/>
      <c r="C12" s="134" t="s">
        <v>125</v>
      </c>
      <c r="D12" s="134" t="s">
        <v>47</v>
      </c>
      <c r="E12" s="34" t="s">
        <v>48</v>
      </c>
      <c r="F12" s="34" t="s">
        <v>49</v>
      </c>
      <c r="G12" s="34" t="s">
        <v>50</v>
      </c>
      <c r="H12" s="34"/>
      <c r="I12" s="34" t="s">
        <v>48</v>
      </c>
      <c r="J12" s="34" t="s">
        <v>49</v>
      </c>
      <c r="K12" s="34" t="s">
        <v>50</v>
      </c>
      <c r="L12" s="23"/>
      <c r="M12" s="34" t="s">
        <v>51</v>
      </c>
      <c r="N12" s="34" t="s">
        <v>14</v>
      </c>
      <c r="O12" s="34"/>
      <c r="P12" s="34" t="s">
        <v>48</v>
      </c>
      <c r="Q12" s="34" t="s">
        <v>49</v>
      </c>
      <c r="R12" s="34" t="s">
        <v>50</v>
      </c>
      <c r="S12" s="34"/>
      <c r="T12" s="34" t="s">
        <v>51</v>
      </c>
      <c r="U12" s="34" t="s">
        <v>14</v>
      </c>
      <c r="V12" s="23"/>
      <c r="W12" s="34" t="s">
        <v>48</v>
      </c>
      <c r="X12" s="34" t="s">
        <v>49</v>
      </c>
      <c r="Y12" s="34" t="s">
        <v>50</v>
      </c>
      <c r="Z12" s="34"/>
      <c r="AA12" s="34" t="s">
        <v>51</v>
      </c>
      <c r="AB12" s="34" t="s">
        <v>14</v>
      </c>
    </row>
    <row r="13" spans="1:28" ht="14" x14ac:dyDescent="0.3">
      <c r="A13" s="67">
        <f t="shared" si="0"/>
        <v>13</v>
      </c>
      <c r="B13" s="31"/>
      <c r="C13" s="134"/>
      <c r="D13" s="134"/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Y13" s="44"/>
      <c r="Z13" s="44"/>
      <c r="AA13" s="44"/>
    </row>
    <row r="14" spans="1:28" ht="14" x14ac:dyDescent="0.3">
      <c r="A14" s="67">
        <f t="shared" si="0"/>
        <v>14</v>
      </c>
      <c r="B14" s="31"/>
      <c r="C14" s="44" t="s">
        <v>126</v>
      </c>
      <c r="D14" s="104">
        <v>100</v>
      </c>
      <c r="E14" s="134"/>
      <c r="F14" s="134"/>
      <c r="G14" s="134"/>
      <c r="H14" s="44"/>
      <c r="I14" s="134"/>
      <c r="J14" s="134"/>
      <c r="K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Y14" s="44"/>
      <c r="Z14" s="44"/>
      <c r="AA14" s="44"/>
    </row>
    <row r="15" spans="1:28" ht="14" x14ac:dyDescent="0.3">
      <c r="A15" s="67">
        <f t="shared" si="0"/>
        <v>15</v>
      </c>
      <c r="B15" s="31"/>
      <c r="C15" s="105">
        <v>12</v>
      </c>
      <c r="D15" s="106">
        <f t="shared" ref="D15:D20" si="1">C15*$D$14</f>
        <v>1200</v>
      </c>
      <c r="E15" s="135">
        <f t="shared" ref="E15:E20" si="2">ROUND($G$72+$C15*$G$73+$D15*$G$74,2)</f>
        <v>178.73</v>
      </c>
      <c r="F15" s="135">
        <f>ROUND($G$75*$D15,2)</f>
        <v>188.12</v>
      </c>
      <c r="G15" s="135">
        <f t="shared" ref="G15:G20" si="3">SUM(E15:F15)</f>
        <v>366.85</v>
      </c>
      <c r="H15" s="136"/>
      <c r="I15" s="135">
        <f t="shared" ref="I15:I19" si="4">ROUND($I$72+$C15*$I$73+$D15*$I$74,2)</f>
        <v>200.94</v>
      </c>
      <c r="J15" s="135">
        <f t="shared" ref="J15:J20" si="5">ROUND($I$75*$D15,2)</f>
        <v>188.12</v>
      </c>
      <c r="K15" s="135">
        <f>SUM(I15:J15)</f>
        <v>389.06</v>
      </c>
      <c r="L15" s="136"/>
      <c r="M15" s="135">
        <f>+K15-G15</f>
        <v>22.20999999999998</v>
      </c>
      <c r="N15" s="137">
        <f>+M15/G15</f>
        <v>6.0542456044704859E-2</v>
      </c>
      <c r="O15" s="135"/>
      <c r="P15" s="135">
        <f>ROUND($J$72+$C15*$J$73+$D15*$J$74,2)</f>
        <v>204.48</v>
      </c>
      <c r="Q15" s="135">
        <f t="shared" ref="Q15:Q20" si="6">ROUND($J$75*$D15,2)</f>
        <v>188.12</v>
      </c>
      <c r="R15" s="135">
        <f t="shared" ref="R15" si="7">SUM(P15:Q15)</f>
        <v>392.6</v>
      </c>
      <c r="S15" s="135"/>
      <c r="T15" s="135">
        <f>+R15-K15</f>
        <v>3.5400000000000205</v>
      </c>
      <c r="U15" s="137">
        <f>+T15/K15</f>
        <v>9.0988536472524049E-3</v>
      </c>
      <c r="V15" s="135"/>
      <c r="W15" s="135">
        <f>ROUND($K$72+$C15*$K$73+$D15*$K$74,2)</f>
        <v>204.24</v>
      </c>
      <c r="X15" s="135">
        <f t="shared" ref="X15:X20" si="8">ROUND($K$75*$D15,2)</f>
        <v>188.12</v>
      </c>
      <c r="Y15" s="135">
        <f t="shared" ref="Y15:Y36" si="9">SUM(W15:X15)</f>
        <v>392.36</v>
      </c>
      <c r="Z15" s="136"/>
      <c r="AA15" s="135">
        <f>+Y15-R15</f>
        <v>-0.24000000000000909</v>
      </c>
      <c r="AB15" s="137">
        <f>+AA15/R15</f>
        <v>-6.1130922058076685E-4</v>
      </c>
    </row>
    <row r="16" spans="1:28" ht="14" x14ac:dyDescent="0.3">
      <c r="A16" s="67">
        <f t="shared" si="0"/>
        <v>16</v>
      </c>
      <c r="B16" s="31"/>
      <c r="C16" s="105">
        <v>24</v>
      </c>
      <c r="D16" s="106">
        <f t="shared" si="1"/>
        <v>2400</v>
      </c>
      <c r="E16" s="135">
        <f t="shared" si="2"/>
        <v>342.46</v>
      </c>
      <c r="F16" s="135">
        <f>ROUND($G$75*$D16,2)</f>
        <v>376.25</v>
      </c>
      <c r="G16" s="135">
        <f t="shared" si="3"/>
        <v>718.71</v>
      </c>
      <c r="H16" s="136"/>
      <c r="I16" s="135">
        <f t="shared" si="4"/>
        <v>386.88</v>
      </c>
      <c r="J16" s="135">
        <f t="shared" si="5"/>
        <v>376.25</v>
      </c>
      <c r="K16" s="135">
        <f t="shared" ref="K16:K20" si="10">SUM(I16:J16)</f>
        <v>763.13</v>
      </c>
      <c r="L16" s="136"/>
      <c r="M16" s="135">
        <f t="shared" ref="M16:M20" si="11">+K16-G16</f>
        <v>44.419999999999959</v>
      </c>
      <c r="N16" s="137">
        <f t="shared" ref="N16:N36" si="12">+M16/G16</f>
        <v>6.180517872298974E-2</v>
      </c>
      <c r="O16" s="135"/>
      <c r="P16" s="135">
        <f t="shared" ref="P16:P20" si="13">ROUND($J$72+$C16*$J$73+$D16*$J$74,2)</f>
        <v>393.96</v>
      </c>
      <c r="Q16" s="135">
        <f t="shared" si="6"/>
        <v>376.25</v>
      </c>
      <c r="R16" s="135">
        <f t="shared" ref="R16:R36" si="14">SUM(P16:Q16)</f>
        <v>770.21</v>
      </c>
      <c r="S16" s="135"/>
      <c r="T16" s="135">
        <f t="shared" ref="T16:T36" si="15">+R16-K16</f>
        <v>7.0800000000000409</v>
      </c>
      <c r="U16" s="137">
        <f t="shared" ref="U16:U36" si="16">+T16/K16</f>
        <v>9.2775804908731691E-3</v>
      </c>
      <c r="V16" s="135"/>
      <c r="W16" s="135">
        <f>ROUND($K$72+$C16*$K$73+$D16*$K$74,2)</f>
        <v>393.48</v>
      </c>
      <c r="X16" s="135">
        <f t="shared" si="8"/>
        <v>376.25</v>
      </c>
      <c r="Y16" s="135">
        <f t="shared" si="9"/>
        <v>769.73</v>
      </c>
      <c r="Z16" s="136"/>
      <c r="AA16" s="135">
        <f t="shared" ref="AA16:AA36" si="17">+Y16-R16</f>
        <v>-0.48000000000001819</v>
      </c>
      <c r="AB16" s="137">
        <f t="shared" ref="AB16:AB36" si="18">+AA16/R16</f>
        <v>-6.2320665792448579E-4</v>
      </c>
    </row>
    <row r="17" spans="1:29" ht="14" x14ac:dyDescent="0.3">
      <c r="A17" s="67">
        <f t="shared" si="0"/>
        <v>17</v>
      </c>
      <c r="B17" s="31"/>
      <c r="C17" s="105">
        <v>40</v>
      </c>
      <c r="D17" s="106">
        <f t="shared" si="1"/>
        <v>4000</v>
      </c>
      <c r="E17" s="135">
        <f>ROUND($G$72+$C17*$G$73+$D17*$G$74,2)</f>
        <v>560.76</v>
      </c>
      <c r="F17" s="135">
        <f t="shared" ref="F17:F20" si="19">ROUND($G$75*$D17,2)</f>
        <v>627.08000000000004</v>
      </c>
      <c r="G17" s="135">
        <f t="shared" si="3"/>
        <v>1187.8400000000001</v>
      </c>
      <c r="H17" s="136"/>
      <c r="I17" s="135">
        <f>ROUND($I$72+$C17*$I$73+$D17*$I$74,2)</f>
        <v>634.79999999999995</v>
      </c>
      <c r="J17" s="135">
        <f>ROUND($I$75*$D17,2)</f>
        <v>627.08000000000004</v>
      </c>
      <c r="K17" s="135">
        <f t="shared" si="10"/>
        <v>1261.8800000000001</v>
      </c>
      <c r="L17" s="136"/>
      <c r="M17" s="135">
        <f t="shared" si="11"/>
        <v>74.039999999999964</v>
      </c>
      <c r="N17" s="137">
        <f t="shared" si="12"/>
        <v>6.2331627155172376E-2</v>
      </c>
      <c r="O17" s="135"/>
      <c r="P17" s="135">
        <f>ROUND($J$72+$C17*$J$73+$D17*$J$74,2)</f>
        <v>646.6</v>
      </c>
      <c r="Q17" s="135">
        <f>ROUND($J$75*$D17,2)</f>
        <v>627.08000000000004</v>
      </c>
      <c r="R17" s="135">
        <f t="shared" si="14"/>
        <v>1273.68</v>
      </c>
      <c r="S17" s="135"/>
      <c r="T17" s="135">
        <f t="shared" si="15"/>
        <v>11.799999999999955</v>
      </c>
      <c r="U17" s="137">
        <f t="shared" si="16"/>
        <v>9.3511268900370505E-3</v>
      </c>
      <c r="V17" s="135"/>
      <c r="W17" s="135">
        <f t="shared" ref="W17:W20" si="20">ROUND($K$72+$C17*$K$73+$D17*$K$74,2)</f>
        <v>645.79999999999995</v>
      </c>
      <c r="X17" s="135">
        <f>ROUND($K$75*$D17,2)</f>
        <v>627.08000000000004</v>
      </c>
      <c r="Y17" s="135">
        <f t="shared" si="9"/>
        <v>1272.8800000000001</v>
      </c>
      <c r="Z17" s="136"/>
      <c r="AA17" s="135">
        <f t="shared" si="17"/>
        <v>-0.79999999999995453</v>
      </c>
      <c r="AB17" s="137">
        <f t="shared" si="18"/>
        <v>-6.2810124992145164E-4</v>
      </c>
    </row>
    <row r="18" spans="1:29" ht="14" x14ac:dyDescent="0.3">
      <c r="A18" s="67">
        <f t="shared" si="0"/>
        <v>18</v>
      </c>
      <c r="B18" s="31"/>
      <c r="C18" s="105">
        <v>50</v>
      </c>
      <c r="D18" s="106">
        <f t="shared" si="1"/>
        <v>5000</v>
      </c>
      <c r="E18" s="135">
        <f t="shared" si="2"/>
        <v>697.2</v>
      </c>
      <c r="F18" s="135">
        <f t="shared" si="19"/>
        <v>783.85</v>
      </c>
      <c r="G18" s="135">
        <f t="shared" si="3"/>
        <v>1481.0500000000002</v>
      </c>
      <c r="H18" s="136"/>
      <c r="I18" s="135">
        <f t="shared" si="4"/>
        <v>789.75</v>
      </c>
      <c r="J18" s="135">
        <f t="shared" si="5"/>
        <v>783.85</v>
      </c>
      <c r="K18" s="135">
        <f t="shared" si="10"/>
        <v>1573.6</v>
      </c>
      <c r="L18" s="136"/>
      <c r="M18" s="135">
        <f t="shared" si="11"/>
        <v>92.549999999999727</v>
      </c>
      <c r="N18" s="137">
        <f t="shared" si="12"/>
        <v>6.2489450052327547E-2</v>
      </c>
      <c r="O18" s="135"/>
      <c r="P18" s="135">
        <f t="shared" si="13"/>
        <v>804.5</v>
      </c>
      <c r="Q18" s="135">
        <f t="shared" si="6"/>
        <v>783.85</v>
      </c>
      <c r="R18" s="135">
        <f t="shared" si="14"/>
        <v>1588.35</v>
      </c>
      <c r="S18" s="135"/>
      <c r="T18" s="135">
        <f t="shared" si="15"/>
        <v>14.75</v>
      </c>
      <c r="U18" s="137">
        <f t="shared" si="16"/>
        <v>9.3734112862226739E-3</v>
      </c>
      <c r="V18" s="135"/>
      <c r="W18" s="135">
        <f t="shared" si="20"/>
        <v>803.5</v>
      </c>
      <c r="X18" s="135">
        <f t="shared" si="8"/>
        <v>783.85</v>
      </c>
      <c r="Y18" s="135">
        <f t="shared" si="9"/>
        <v>1587.35</v>
      </c>
      <c r="Z18" s="136"/>
      <c r="AA18" s="135">
        <f t="shared" si="17"/>
        <v>-1</v>
      </c>
      <c r="AB18" s="137">
        <f t="shared" si="18"/>
        <v>-6.2958415966254293E-4</v>
      </c>
    </row>
    <row r="19" spans="1:29" ht="14" x14ac:dyDescent="0.3">
      <c r="A19" s="67">
        <f t="shared" si="0"/>
        <v>19</v>
      </c>
      <c r="B19" s="31"/>
      <c r="C19" s="105">
        <v>125</v>
      </c>
      <c r="D19" s="106">
        <f t="shared" si="1"/>
        <v>12500</v>
      </c>
      <c r="E19" s="135">
        <f t="shared" si="2"/>
        <v>1720.5</v>
      </c>
      <c r="F19" s="135">
        <f t="shared" si="19"/>
        <v>1959.63</v>
      </c>
      <c r="G19" s="135">
        <f t="shared" si="3"/>
        <v>3680.13</v>
      </c>
      <c r="H19" s="136"/>
      <c r="I19" s="135">
        <f t="shared" si="4"/>
        <v>1951.88</v>
      </c>
      <c r="J19" s="135">
        <f t="shared" si="5"/>
        <v>1959.63</v>
      </c>
      <c r="K19" s="135">
        <f t="shared" si="10"/>
        <v>3911.51</v>
      </c>
      <c r="L19" s="136"/>
      <c r="M19" s="135">
        <f t="shared" si="11"/>
        <v>231.38000000000011</v>
      </c>
      <c r="N19" s="137">
        <f t="shared" si="12"/>
        <v>6.2872778950743613E-2</v>
      </c>
      <c r="O19" s="135"/>
      <c r="P19" s="135">
        <f t="shared" si="13"/>
        <v>1988.75</v>
      </c>
      <c r="Q19" s="135">
        <f t="shared" si="6"/>
        <v>1959.63</v>
      </c>
      <c r="R19" s="135">
        <f t="shared" si="14"/>
        <v>3948.38</v>
      </c>
      <c r="S19" s="135"/>
      <c r="T19" s="135">
        <f t="shared" si="15"/>
        <v>36.869999999999891</v>
      </c>
      <c r="U19" s="137">
        <f t="shared" si="16"/>
        <v>9.4260272886941068E-3</v>
      </c>
      <c r="V19" s="135"/>
      <c r="W19" s="135">
        <f t="shared" si="20"/>
        <v>1986.25</v>
      </c>
      <c r="X19" s="135">
        <f t="shared" si="8"/>
        <v>1959.63</v>
      </c>
      <c r="Y19" s="135">
        <f t="shared" si="9"/>
        <v>3945.88</v>
      </c>
      <c r="Z19" s="136"/>
      <c r="AA19" s="135">
        <f t="shared" si="17"/>
        <v>-2.5</v>
      </c>
      <c r="AB19" s="137">
        <f t="shared" si="18"/>
        <v>-6.3317107269310455E-4</v>
      </c>
    </row>
    <row r="20" spans="1:29" ht="14" x14ac:dyDescent="0.3">
      <c r="A20" s="67">
        <f t="shared" si="0"/>
        <v>20</v>
      </c>
      <c r="B20" s="31" t="s">
        <v>52</v>
      </c>
      <c r="C20" s="105">
        <v>50</v>
      </c>
      <c r="D20" s="106">
        <f t="shared" si="1"/>
        <v>5000</v>
      </c>
      <c r="E20" s="135">
        <f t="shared" si="2"/>
        <v>697.2</v>
      </c>
      <c r="F20" s="135">
        <f t="shared" si="19"/>
        <v>783.85</v>
      </c>
      <c r="G20" s="135">
        <f t="shared" si="3"/>
        <v>1481.0500000000002</v>
      </c>
      <c r="H20" s="136"/>
      <c r="I20" s="135">
        <f>ROUND($I$72+$C20*$I$73+$D20*$I$74,2)</f>
        <v>789.75</v>
      </c>
      <c r="J20" s="135">
        <f t="shared" si="5"/>
        <v>783.85</v>
      </c>
      <c r="K20" s="135">
        <f t="shared" si="10"/>
        <v>1573.6</v>
      </c>
      <c r="L20" s="136"/>
      <c r="M20" s="135">
        <f t="shared" si="11"/>
        <v>92.549999999999727</v>
      </c>
      <c r="N20" s="137">
        <f t="shared" si="12"/>
        <v>6.2489450052327547E-2</v>
      </c>
      <c r="O20" s="135"/>
      <c r="P20" s="135">
        <f t="shared" si="13"/>
        <v>804.5</v>
      </c>
      <c r="Q20" s="135">
        <f t="shared" si="6"/>
        <v>783.85</v>
      </c>
      <c r="R20" s="135">
        <f t="shared" si="14"/>
        <v>1588.35</v>
      </c>
      <c r="S20" s="135"/>
      <c r="T20" s="135">
        <f t="shared" si="15"/>
        <v>14.75</v>
      </c>
      <c r="U20" s="137">
        <f t="shared" si="16"/>
        <v>9.3734112862226739E-3</v>
      </c>
      <c r="V20" s="135"/>
      <c r="W20" s="135">
        <f t="shared" si="20"/>
        <v>803.5</v>
      </c>
      <c r="X20" s="135">
        <f t="shared" si="8"/>
        <v>783.85</v>
      </c>
      <c r="Y20" s="135">
        <f t="shared" si="9"/>
        <v>1587.35</v>
      </c>
      <c r="Z20" s="136"/>
      <c r="AA20" s="135">
        <f t="shared" si="17"/>
        <v>-1</v>
      </c>
      <c r="AB20" s="137">
        <f t="shared" si="18"/>
        <v>-6.2958415966254293E-4</v>
      </c>
    </row>
    <row r="21" spans="1:29" ht="14" x14ac:dyDescent="0.3">
      <c r="A21" s="67">
        <f t="shared" si="0"/>
        <v>21</v>
      </c>
      <c r="B21" s="31"/>
      <c r="C21" s="130"/>
      <c r="D21" s="158"/>
      <c r="E21" s="135"/>
      <c r="F21" s="135"/>
      <c r="G21" s="153"/>
      <c r="H21" s="159"/>
      <c r="I21" s="135"/>
      <c r="J21" s="135"/>
      <c r="K21" s="153"/>
      <c r="L21" s="159"/>
      <c r="M21" s="153"/>
      <c r="N21" s="137"/>
      <c r="O21" s="153"/>
      <c r="P21" s="135"/>
      <c r="Q21" s="135"/>
      <c r="R21" s="135"/>
      <c r="S21" s="153"/>
      <c r="T21" s="135"/>
      <c r="U21" s="137"/>
      <c r="V21" s="153"/>
      <c r="W21" s="135"/>
      <c r="X21" s="135"/>
      <c r="Y21" s="135"/>
      <c r="AA21" s="135"/>
      <c r="AB21" s="137"/>
    </row>
    <row r="22" spans="1:29" ht="14" x14ac:dyDescent="0.3">
      <c r="A22" s="67">
        <f t="shared" si="0"/>
        <v>22</v>
      </c>
      <c r="B22" s="31"/>
      <c r="C22" s="44" t="s">
        <v>126</v>
      </c>
      <c r="D22" s="104">
        <v>215</v>
      </c>
      <c r="E22" s="135"/>
      <c r="F22" s="135"/>
      <c r="G22" s="136"/>
      <c r="H22" s="136"/>
      <c r="I22" s="135"/>
      <c r="J22" s="135"/>
      <c r="K22" s="136"/>
      <c r="L22" s="136"/>
      <c r="M22" s="136"/>
      <c r="N22" s="137"/>
      <c r="O22" s="136"/>
      <c r="P22" s="135"/>
      <c r="Q22" s="135"/>
      <c r="R22" s="135"/>
      <c r="S22" s="136"/>
      <c r="T22" s="135"/>
      <c r="U22" s="137"/>
      <c r="V22" s="136"/>
      <c r="W22" s="135"/>
      <c r="X22" s="135"/>
      <c r="Y22" s="135"/>
      <c r="AA22" s="135"/>
      <c r="AB22" s="137"/>
    </row>
    <row r="23" spans="1:29" ht="14" x14ac:dyDescent="0.3">
      <c r="A23" s="67">
        <f t="shared" si="0"/>
        <v>23</v>
      </c>
      <c r="B23" s="31"/>
      <c r="C23" s="105">
        <v>10</v>
      </c>
      <c r="D23" s="106">
        <f t="shared" ref="D23:D28" si="21">C23*$D$22</f>
        <v>2150</v>
      </c>
      <c r="E23" s="135">
        <f t="shared" ref="E23:E28" si="22">ROUND($G$72+$C23*$G$73+$D23*$G$74,2)</f>
        <v>209.56</v>
      </c>
      <c r="F23" s="135">
        <f t="shared" ref="F23:F28" si="23">ROUND($G$75*$D23,2)</f>
        <v>337.06</v>
      </c>
      <c r="G23" s="135">
        <f t="shared" ref="G23:G28" si="24">SUM(E23:F23)</f>
        <v>546.62</v>
      </c>
      <c r="H23" s="136"/>
      <c r="I23" s="135">
        <f t="shared" ref="I23:I28" si="25">ROUND($I$72+$C23*$I$73+$D23*$I$74,2)</f>
        <v>249.36</v>
      </c>
      <c r="J23" s="135">
        <f t="shared" ref="J23:J28" si="26">ROUND($I$75*$D23,2)</f>
        <v>337.06</v>
      </c>
      <c r="K23" s="135">
        <f t="shared" ref="K23:K28" si="27">SUM(I23:J23)</f>
        <v>586.42000000000007</v>
      </c>
      <c r="L23" s="136"/>
      <c r="M23" s="135">
        <f t="shared" ref="M23:M28" si="28">+K23-G23</f>
        <v>39.800000000000068</v>
      </c>
      <c r="N23" s="137">
        <f t="shared" si="12"/>
        <v>7.2811093629944146E-2</v>
      </c>
      <c r="O23" s="135"/>
      <c r="P23" s="135">
        <f>ROUND($J$72+$C23*$J$73+$D23*$J$74,2)</f>
        <v>255.7</v>
      </c>
      <c r="Q23" s="135">
        <f t="shared" ref="Q23:Q28" si="29">ROUND($J$75*$D23,2)</f>
        <v>337.06</v>
      </c>
      <c r="R23" s="135">
        <f t="shared" si="14"/>
        <v>592.76</v>
      </c>
      <c r="S23" s="135"/>
      <c r="T23" s="135">
        <f t="shared" si="15"/>
        <v>6.3399999999999181</v>
      </c>
      <c r="U23" s="137">
        <f t="shared" si="16"/>
        <v>1.0811363868899283E-2</v>
      </c>
      <c r="V23" s="135"/>
      <c r="W23" s="135">
        <f t="shared" ref="W23:W28" si="30">ROUND($K$72+$C23*$K$73+$D23*$K$74,2)</f>
        <v>255.27</v>
      </c>
      <c r="X23" s="135">
        <f t="shared" ref="X23:X28" si="31">ROUND($K$75*$D23,2)</f>
        <v>337.06</v>
      </c>
      <c r="Y23" s="135">
        <f t="shared" si="9"/>
        <v>592.33000000000004</v>
      </c>
      <c r="Z23" s="136"/>
      <c r="AA23" s="135">
        <f t="shared" si="17"/>
        <v>-0.42999999999994998</v>
      </c>
      <c r="AB23" s="137">
        <f t="shared" si="18"/>
        <v>-7.25420068830471E-4</v>
      </c>
    </row>
    <row r="24" spans="1:29" ht="14" x14ac:dyDescent="0.3">
      <c r="A24" s="67">
        <f t="shared" si="0"/>
        <v>24</v>
      </c>
      <c r="B24" s="31"/>
      <c r="C24" s="105">
        <v>20</v>
      </c>
      <c r="D24" s="106">
        <f t="shared" si="21"/>
        <v>4300</v>
      </c>
      <c r="E24" s="135">
        <f t="shared" si="22"/>
        <v>404.12</v>
      </c>
      <c r="F24" s="135">
        <f t="shared" si="23"/>
        <v>674.11</v>
      </c>
      <c r="G24" s="135">
        <f t="shared" si="24"/>
        <v>1078.23</v>
      </c>
      <c r="H24" s="136"/>
      <c r="I24" s="135">
        <f t="shared" si="25"/>
        <v>483.72</v>
      </c>
      <c r="J24" s="135">
        <f>ROUND($I$75*$D24,2)</f>
        <v>674.11</v>
      </c>
      <c r="K24" s="135">
        <f t="shared" si="27"/>
        <v>1157.83</v>
      </c>
      <c r="L24" s="136"/>
      <c r="M24" s="135">
        <f t="shared" si="28"/>
        <v>79.599999999999909</v>
      </c>
      <c r="N24" s="137">
        <f t="shared" si="12"/>
        <v>7.3824694174712172E-2</v>
      </c>
      <c r="O24" s="135"/>
      <c r="P24" s="135">
        <f t="shared" ref="P24:P28" si="32">ROUND($J$72+$C24*$J$73+$D24*$J$74,2)</f>
        <v>496.4</v>
      </c>
      <c r="Q24" s="135">
        <f t="shared" si="29"/>
        <v>674.11</v>
      </c>
      <c r="R24" s="135">
        <f t="shared" si="14"/>
        <v>1170.51</v>
      </c>
      <c r="S24" s="135"/>
      <c r="T24" s="135">
        <f t="shared" si="15"/>
        <v>12.680000000000064</v>
      </c>
      <c r="U24" s="137">
        <f t="shared" si="16"/>
        <v>1.0951521380513602E-2</v>
      </c>
      <c r="V24" s="135"/>
      <c r="W24" s="135">
        <f>ROUND($K$72+$C24*$K$73+$D24*$K$74,2)</f>
        <v>495.54</v>
      </c>
      <c r="X24" s="135">
        <f>ROUND($K$75*$D24,2)</f>
        <v>674.11</v>
      </c>
      <c r="Y24" s="135">
        <f t="shared" si="9"/>
        <v>1169.6500000000001</v>
      </c>
      <c r="Z24" s="136"/>
      <c r="AA24" s="135">
        <f t="shared" si="17"/>
        <v>-0.85999999999989996</v>
      </c>
      <c r="AB24" s="137">
        <f t="shared" si="18"/>
        <v>-7.3472247140126952E-4</v>
      </c>
    </row>
    <row r="25" spans="1:29" ht="14" x14ac:dyDescent="0.3">
      <c r="A25" s="67">
        <f t="shared" si="0"/>
        <v>25</v>
      </c>
      <c r="B25" s="31"/>
      <c r="C25" s="105">
        <v>30</v>
      </c>
      <c r="D25" s="106">
        <f t="shared" si="21"/>
        <v>6450</v>
      </c>
      <c r="E25" s="135">
        <f t="shared" si="22"/>
        <v>598.67999999999995</v>
      </c>
      <c r="F25" s="135">
        <f>ROUND($G$75*$D25,2)</f>
        <v>1011.17</v>
      </c>
      <c r="G25" s="135">
        <f t="shared" si="24"/>
        <v>1609.85</v>
      </c>
      <c r="H25" s="136"/>
      <c r="I25" s="135">
        <f>ROUND($I$72+$C25*$I$73+$D25*$I$74,2)</f>
        <v>718.07</v>
      </c>
      <c r="J25" s="135">
        <f t="shared" si="26"/>
        <v>1011.17</v>
      </c>
      <c r="K25" s="135">
        <f t="shared" si="27"/>
        <v>1729.24</v>
      </c>
      <c r="L25" s="136"/>
      <c r="M25" s="135">
        <f t="shared" si="28"/>
        <v>119.3900000000001</v>
      </c>
      <c r="N25" s="137">
        <f t="shared" si="12"/>
        <v>7.4162189023822156E-2</v>
      </c>
      <c r="O25" s="135"/>
      <c r="P25" s="135">
        <f t="shared" si="32"/>
        <v>737.1</v>
      </c>
      <c r="Q25" s="135">
        <f t="shared" si="29"/>
        <v>1011.17</v>
      </c>
      <c r="R25" s="135">
        <f t="shared" si="14"/>
        <v>1748.27</v>
      </c>
      <c r="S25" s="135"/>
      <c r="T25" s="135">
        <f t="shared" si="15"/>
        <v>19.029999999999973</v>
      </c>
      <c r="U25" s="137">
        <f t="shared" si="16"/>
        <v>1.1004834493766031E-2</v>
      </c>
      <c r="V25" s="135"/>
      <c r="W25" s="135">
        <f t="shared" si="30"/>
        <v>735.81</v>
      </c>
      <c r="X25" s="135">
        <f t="shared" si="31"/>
        <v>1011.17</v>
      </c>
      <c r="Y25" s="135">
        <f t="shared" si="9"/>
        <v>1746.98</v>
      </c>
      <c r="Z25" s="136"/>
      <c r="AA25" s="135">
        <f t="shared" si="17"/>
        <v>-1.2899999999999636</v>
      </c>
      <c r="AB25" s="137">
        <f t="shared" si="18"/>
        <v>-7.3787229661320252E-4</v>
      </c>
    </row>
    <row r="26" spans="1:29" ht="14" x14ac:dyDescent="0.3">
      <c r="A26" s="67">
        <f t="shared" si="0"/>
        <v>26</v>
      </c>
      <c r="B26" s="31"/>
      <c r="C26" s="105">
        <v>40</v>
      </c>
      <c r="D26" s="106">
        <f t="shared" si="21"/>
        <v>8600</v>
      </c>
      <c r="E26" s="135">
        <f>ROUND($G$72+$C26*$G$73+$D26*$G$74,2)</f>
        <v>793.24</v>
      </c>
      <c r="F26" s="135">
        <f>ROUND($G$75*$D26,2)</f>
        <v>1348.22</v>
      </c>
      <c r="G26" s="135">
        <f t="shared" si="24"/>
        <v>2141.46</v>
      </c>
      <c r="H26" s="136"/>
      <c r="I26" s="135">
        <f t="shared" si="25"/>
        <v>952.43</v>
      </c>
      <c r="J26" s="135">
        <f t="shared" si="26"/>
        <v>1348.22</v>
      </c>
      <c r="K26" s="135">
        <f t="shared" si="27"/>
        <v>2300.65</v>
      </c>
      <c r="L26" s="136"/>
      <c r="M26" s="135">
        <f t="shared" si="28"/>
        <v>159.19000000000005</v>
      </c>
      <c r="N26" s="137">
        <f t="shared" si="12"/>
        <v>7.433713447834657E-2</v>
      </c>
      <c r="O26" s="135"/>
      <c r="P26" s="135">
        <f>ROUND($J$72+$C26*$J$73+$D26*$J$74,2)</f>
        <v>977.8</v>
      </c>
      <c r="Q26" s="135">
        <f>ROUND($J$75*$D26,2)</f>
        <v>1348.22</v>
      </c>
      <c r="R26" s="135">
        <f t="shared" si="14"/>
        <v>2326.02</v>
      </c>
      <c r="S26" s="135"/>
      <c r="T26" s="135">
        <f t="shared" si="15"/>
        <v>25.369999999999891</v>
      </c>
      <c r="U26" s="137">
        <f t="shared" si="16"/>
        <v>1.1027318366548536E-2</v>
      </c>
      <c r="V26" s="135"/>
      <c r="W26" s="135">
        <f t="shared" si="30"/>
        <v>976.08</v>
      </c>
      <c r="X26" s="135">
        <f t="shared" si="31"/>
        <v>1348.22</v>
      </c>
      <c r="Y26" s="135">
        <f t="shared" si="9"/>
        <v>2324.3000000000002</v>
      </c>
      <c r="Z26" s="136"/>
      <c r="AA26" s="135">
        <f t="shared" si="17"/>
        <v>-1.7199999999997999</v>
      </c>
      <c r="AB26" s="137">
        <f t="shared" si="18"/>
        <v>-7.3946053774249577E-4</v>
      </c>
    </row>
    <row r="27" spans="1:29" ht="14" x14ac:dyDescent="0.3">
      <c r="A27" s="67">
        <f t="shared" si="0"/>
        <v>27</v>
      </c>
      <c r="B27" s="31"/>
      <c r="C27" s="105">
        <v>80</v>
      </c>
      <c r="D27" s="106">
        <f t="shared" si="21"/>
        <v>17200</v>
      </c>
      <c r="E27" s="135">
        <f t="shared" si="22"/>
        <v>1571.49</v>
      </c>
      <c r="F27" s="135">
        <f t="shared" si="23"/>
        <v>2696.44</v>
      </c>
      <c r="G27" s="135">
        <f t="shared" si="24"/>
        <v>4267.93</v>
      </c>
      <c r="H27" s="136"/>
      <c r="I27" s="135">
        <f t="shared" si="25"/>
        <v>1889.86</v>
      </c>
      <c r="J27" s="135">
        <f t="shared" si="26"/>
        <v>2696.44</v>
      </c>
      <c r="K27" s="135">
        <f t="shared" si="27"/>
        <v>4586.3</v>
      </c>
      <c r="L27" s="136"/>
      <c r="M27" s="135">
        <f t="shared" si="28"/>
        <v>318.36999999999989</v>
      </c>
      <c r="N27" s="137">
        <f t="shared" si="12"/>
        <v>7.4595881375748865E-2</v>
      </c>
      <c r="O27" s="135"/>
      <c r="P27" s="135">
        <f t="shared" si="32"/>
        <v>1940.6</v>
      </c>
      <c r="Q27" s="135">
        <f t="shared" si="29"/>
        <v>2696.44</v>
      </c>
      <c r="R27" s="135">
        <f t="shared" si="14"/>
        <v>4637.04</v>
      </c>
      <c r="S27" s="135"/>
      <c r="T27" s="135">
        <f t="shared" si="15"/>
        <v>50.739999999999782</v>
      </c>
      <c r="U27" s="137">
        <f t="shared" si="16"/>
        <v>1.106338442753413E-2</v>
      </c>
      <c r="V27" s="135"/>
      <c r="W27" s="135">
        <f t="shared" si="30"/>
        <v>1937.16</v>
      </c>
      <c r="X27" s="135">
        <f t="shared" si="31"/>
        <v>2696.44</v>
      </c>
      <c r="Y27" s="135">
        <f t="shared" si="9"/>
        <v>4633.6000000000004</v>
      </c>
      <c r="Z27" s="136"/>
      <c r="AA27" s="135">
        <f t="shared" si="17"/>
        <v>-3.4399999999995998</v>
      </c>
      <c r="AB27" s="137">
        <f t="shared" si="18"/>
        <v>-7.4185256111648811E-4</v>
      </c>
    </row>
    <row r="28" spans="1:29" ht="14" x14ac:dyDescent="0.3">
      <c r="A28" s="67">
        <f t="shared" si="0"/>
        <v>28</v>
      </c>
      <c r="B28" s="31" t="s">
        <v>52</v>
      </c>
      <c r="C28" s="106">
        <v>35</v>
      </c>
      <c r="D28" s="106">
        <f t="shared" si="21"/>
        <v>7525</v>
      </c>
      <c r="E28" s="135">
        <f t="shared" si="22"/>
        <v>695.96</v>
      </c>
      <c r="F28" s="135">
        <f t="shared" si="23"/>
        <v>1179.69</v>
      </c>
      <c r="G28" s="135">
        <f t="shared" si="24"/>
        <v>1875.65</v>
      </c>
      <c r="H28" s="136"/>
      <c r="I28" s="135">
        <f t="shared" si="25"/>
        <v>835.25</v>
      </c>
      <c r="J28" s="135">
        <f t="shared" si="26"/>
        <v>1179.69</v>
      </c>
      <c r="K28" s="135">
        <f t="shared" si="27"/>
        <v>2014.94</v>
      </c>
      <c r="L28" s="136"/>
      <c r="M28" s="135">
        <f t="shared" si="28"/>
        <v>139.28999999999996</v>
      </c>
      <c r="N28" s="137">
        <f t="shared" si="12"/>
        <v>7.4262255751339518E-2</v>
      </c>
      <c r="O28" s="135"/>
      <c r="P28" s="135">
        <f t="shared" si="32"/>
        <v>857.45</v>
      </c>
      <c r="Q28" s="135">
        <f t="shared" si="29"/>
        <v>1179.69</v>
      </c>
      <c r="R28" s="135">
        <f t="shared" si="14"/>
        <v>2037.14</v>
      </c>
      <c r="S28" s="135"/>
      <c r="T28" s="135">
        <f t="shared" si="15"/>
        <v>22.200000000000045</v>
      </c>
      <c r="U28" s="137">
        <f t="shared" si="16"/>
        <v>1.1017697797453048E-2</v>
      </c>
      <c r="V28" s="135"/>
      <c r="W28" s="135">
        <f t="shared" si="30"/>
        <v>855.95</v>
      </c>
      <c r="X28" s="135">
        <f t="shared" si="31"/>
        <v>1179.69</v>
      </c>
      <c r="Y28" s="135">
        <f t="shared" si="9"/>
        <v>2035.64</v>
      </c>
      <c r="Z28" s="136"/>
      <c r="AA28" s="135">
        <f t="shared" si="17"/>
        <v>-1.5</v>
      </c>
      <c r="AB28" s="137">
        <f t="shared" si="18"/>
        <v>-7.3632641841012397E-4</v>
      </c>
    </row>
    <row r="29" spans="1:29" ht="14" x14ac:dyDescent="0.3">
      <c r="A29" s="67">
        <f t="shared" si="0"/>
        <v>29</v>
      </c>
      <c r="B29" s="31"/>
      <c r="C29" s="130"/>
      <c r="D29" s="158"/>
      <c r="E29" s="135"/>
      <c r="F29" s="135"/>
      <c r="G29" s="153"/>
      <c r="H29" s="159"/>
      <c r="I29" s="135"/>
      <c r="J29" s="135"/>
      <c r="K29" s="153"/>
      <c r="L29" s="159"/>
      <c r="M29" s="153"/>
      <c r="N29" s="137"/>
      <c r="O29" s="153"/>
      <c r="P29" s="135"/>
      <c r="Q29" s="135"/>
      <c r="R29" s="135"/>
      <c r="S29" s="153"/>
      <c r="T29" s="135"/>
      <c r="U29" s="137"/>
      <c r="V29" s="153"/>
      <c r="W29" s="135"/>
      <c r="X29" s="135"/>
      <c r="Y29" s="135"/>
      <c r="AA29" s="135"/>
      <c r="AB29" s="137"/>
    </row>
    <row r="30" spans="1:29" ht="14" x14ac:dyDescent="0.3">
      <c r="A30" s="67">
        <f t="shared" si="0"/>
        <v>30</v>
      </c>
      <c r="B30" s="31"/>
      <c r="C30" s="44" t="s">
        <v>126</v>
      </c>
      <c r="D30" s="104">
        <v>390</v>
      </c>
      <c r="E30" s="135"/>
      <c r="F30" s="135"/>
      <c r="G30" s="136"/>
      <c r="H30" s="136"/>
      <c r="I30" s="135"/>
      <c r="J30" s="135"/>
      <c r="K30" s="136"/>
      <c r="L30" s="136"/>
      <c r="M30" s="136"/>
      <c r="N30" s="137"/>
      <c r="O30" s="136"/>
      <c r="P30" s="135"/>
      <c r="Q30" s="135"/>
      <c r="R30" s="135"/>
      <c r="S30" s="136"/>
      <c r="T30" s="135"/>
      <c r="U30" s="137"/>
      <c r="V30" s="136"/>
      <c r="W30" s="135"/>
      <c r="X30" s="135"/>
      <c r="Y30" s="135"/>
      <c r="AA30" s="135"/>
      <c r="AB30" s="137"/>
    </row>
    <row r="31" spans="1:29" ht="14" x14ac:dyDescent="0.3">
      <c r="A31" s="67">
        <f t="shared" si="0"/>
        <v>31</v>
      </c>
      <c r="B31" s="31"/>
      <c r="C31" s="105">
        <v>7</v>
      </c>
      <c r="D31" s="106">
        <f t="shared" ref="D31:D36" si="33">C31*$D$30</f>
        <v>2730</v>
      </c>
      <c r="E31" s="135">
        <f t="shared" ref="E31:E36" si="34">ROUND($G$72+$C31*$G$73+$D31*$G$74,2)</f>
        <v>213.1</v>
      </c>
      <c r="F31" s="135">
        <f t="shared" ref="F31:F36" si="35">ROUND($G$75*$D31,2)</f>
        <v>427.98</v>
      </c>
      <c r="G31" s="135">
        <f t="shared" ref="G31:G36" si="36">SUM(E31:F31)</f>
        <v>641.08000000000004</v>
      </c>
      <c r="H31" s="136"/>
      <c r="I31" s="135">
        <f t="shared" ref="I31:I36" si="37">ROUND($I$72+$C31*$I$73+$D31*$I$74,2)</f>
        <v>263.64</v>
      </c>
      <c r="J31" s="135">
        <f t="shared" ref="J31:J36" si="38">ROUND($I$75*$D31,2)</f>
        <v>427.98</v>
      </c>
      <c r="K31" s="135">
        <f t="shared" ref="K31:K36" si="39">SUM(I31:J31)</f>
        <v>691.62</v>
      </c>
      <c r="L31" s="136"/>
      <c r="M31" s="135">
        <f t="shared" ref="M31:M36" si="40">+K31-G31</f>
        <v>50.539999999999964</v>
      </c>
      <c r="N31" s="137">
        <f t="shared" si="12"/>
        <v>7.8835714731390713E-2</v>
      </c>
      <c r="O31" s="135"/>
      <c r="P31" s="135">
        <f t="shared" ref="P31:P36" si="41">ROUND($J$72+$C31*$J$73+$D31*$J$74,2)</f>
        <v>271.69</v>
      </c>
      <c r="Q31" s="135">
        <f t="shared" ref="Q31:Q36" si="42">ROUND($J$75*$D31,2)</f>
        <v>427.98</v>
      </c>
      <c r="R31" s="135">
        <f t="shared" si="14"/>
        <v>699.67000000000007</v>
      </c>
      <c r="S31" s="135"/>
      <c r="T31" s="135">
        <f t="shared" si="15"/>
        <v>8.0500000000000682</v>
      </c>
      <c r="U31" s="137">
        <f t="shared" si="16"/>
        <v>1.1639339521702768E-2</v>
      </c>
      <c r="V31" s="135"/>
      <c r="W31" s="135">
        <f t="shared" ref="W31:W36" si="43">ROUND($K$72+$C31*$K$73+$D31*$K$74,2)</f>
        <v>271.14</v>
      </c>
      <c r="X31" s="135">
        <f t="shared" ref="X31:X36" si="44">ROUND($K$75*$D31,2)</f>
        <v>427.98</v>
      </c>
      <c r="Y31" s="135">
        <f t="shared" si="9"/>
        <v>699.12</v>
      </c>
      <c r="Z31" s="136"/>
      <c r="AA31" s="135">
        <f t="shared" si="17"/>
        <v>-0.55000000000006821</v>
      </c>
      <c r="AB31" s="137">
        <f t="shared" si="18"/>
        <v>-7.8608486858099981E-4</v>
      </c>
      <c r="AC31" s="81"/>
    </row>
    <row r="32" spans="1:29" ht="14" x14ac:dyDescent="0.3">
      <c r="A32" s="67">
        <f t="shared" si="0"/>
        <v>32</v>
      </c>
      <c r="B32" s="31"/>
      <c r="C32" s="105">
        <v>15</v>
      </c>
      <c r="D32" s="106">
        <f t="shared" si="33"/>
        <v>5850</v>
      </c>
      <c r="E32" s="135">
        <f>ROUND($G$72+$C32*$G$73+$D32*$G$74,2)</f>
        <v>439.51</v>
      </c>
      <c r="F32" s="135">
        <f t="shared" si="35"/>
        <v>917.1</v>
      </c>
      <c r="G32" s="135">
        <f t="shared" si="36"/>
        <v>1356.6100000000001</v>
      </c>
      <c r="H32" s="136"/>
      <c r="I32" s="135">
        <f t="shared" si="37"/>
        <v>547.79</v>
      </c>
      <c r="J32" s="135">
        <f t="shared" si="38"/>
        <v>917.1</v>
      </c>
      <c r="K32" s="135">
        <f t="shared" si="39"/>
        <v>1464.8899999999999</v>
      </c>
      <c r="L32" s="136"/>
      <c r="M32" s="135">
        <f t="shared" si="40"/>
        <v>108.27999999999975</v>
      </c>
      <c r="N32" s="137">
        <f t="shared" si="12"/>
        <v>7.9816601676236901E-2</v>
      </c>
      <c r="O32" s="135"/>
      <c r="P32" s="135">
        <f t="shared" si="41"/>
        <v>565.04999999999995</v>
      </c>
      <c r="Q32" s="135">
        <f>ROUND($J$75*$D32,2)</f>
        <v>917.1</v>
      </c>
      <c r="R32" s="135">
        <f t="shared" si="14"/>
        <v>1482.15</v>
      </c>
      <c r="S32" s="135"/>
      <c r="T32" s="135">
        <f t="shared" si="15"/>
        <v>17.260000000000218</v>
      </c>
      <c r="U32" s="137">
        <f t="shared" si="16"/>
        <v>1.1782454655298501E-2</v>
      </c>
      <c r="V32" s="135"/>
      <c r="W32" s="135">
        <f t="shared" si="43"/>
        <v>563.88</v>
      </c>
      <c r="X32" s="135">
        <f>ROUND($K$75*$D32,2)</f>
        <v>917.1</v>
      </c>
      <c r="Y32" s="135">
        <f t="shared" si="9"/>
        <v>1480.98</v>
      </c>
      <c r="Z32" s="136"/>
      <c r="AA32" s="135">
        <f t="shared" si="17"/>
        <v>-1.1700000000000728</v>
      </c>
      <c r="AB32" s="137">
        <f t="shared" si="18"/>
        <v>-7.8939378605409215E-4</v>
      </c>
      <c r="AC32" s="81"/>
    </row>
    <row r="33" spans="1:29" ht="14" x14ac:dyDescent="0.3">
      <c r="A33" s="67">
        <f t="shared" si="0"/>
        <v>33</v>
      </c>
      <c r="B33" s="31"/>
      <c r="C33" s="105">
        <v>20</v>
      </c>
      <c r="D33" s="106">
        <f t="shared" si="33"/>
        <v>7800</v>
      </c>
      <c r="E33" s="135">
        <f t="shared" si="34"/>
        <v>581.01</v>
      </c>
      <c r="F33" s="135">
        <f>ROUND($G$75*$D33,2)</f>
        <v>1222.81</v>
      </c>
      <c r="G33" s="135">
        <f t="shared" si="36"/>
        <v>1803.82</v>
      </c>
      <c r="H33" s="136"/>
      <c r="I33" s="135">
        <f>ROUND($I$72+$C33*$I$73+$D33*$I$74,2)</f>
        <v>725.39</v>
      </c>
      <c r="J33" s="135">
        <f t="shared" si="38"/>
        <v>1222.81</v>
      </c>
      <c r="K33" s="135">
        <f t="shared" si="39"/>
        <v>1948.1999999999998</v>
      </c>
      <c r="L33" s="136"/>
      <c r="M33" s="135">
        <f t="shared" si="40"/>
        <v>144.37999999999988</v>
      </c>
      <c r="N33" s="137">
        <f t="shared" si="12"/>
        <v>8.0041245800578711E-2</v>
      </c>
      <c r="O33" s="135"/>
      <c r="P33" s="135">
        <f t="shared" si="41"/>
        <v>748.4</v>
      </c>
      <c r="Q33" s="135">
        <f t="shared" si="42"/>
        <v>1222.81</v>
      </c>
      <c r="R33" s="135">
        <f t="shared" si="14"/>
        <v>1971.21</v>
      </c>
      <c r="S33" s="135"/>
      <c r="T33" s="135">
        <f t="shared" si="15"/>
        <v>23.010000000000218</v>
      </c>
      <c r="U33" s="137">
        <f t="shared" si="16"/>
        <v>1.1810902371419886E-2</v>
      </c>
      <c r="V33" s="135"/>
      <c r="W33" s="135">
        <f t="shared" si="43"/>
        <v>746.84</v>
      </c>
      <c r="X33" s="135">
        <f t="shared" si="44"/>
        <v>1222.81</v>
      </c>
      <c r="Y33" s="135">
        <f t="shared" si="9"/>
        <v>1969.65</v>
      </c>
      <c r="Z33" s="136"/>
      <c r="AA33" s="135">
        <f t="shared" si="17"/>
        <v>-1.5599999999999454</v>
      </c>
      <c r="AB33" s="137">
        <f t="shared" si="18"/>
        <v>-7.9139208912289681E-4</v>
      </c>
      <c r="AC33" s="81"/>
    </row>
    <row r="34" spans="1:29" ht="14" x14ac:dyDescent="0.3">
      <c r="A34" s="67">
        <f t="shared" si="0"/>
        <v>34</v>
      </c>
      <c r="B34" s="31"/>
      <c r="C34" s="105">
        <v>30</v>
      </c>
      <c r="D34" s="106">
        <f t="shared" si="33"/>
        <v>11700</v>
      </c>
      <c r="E34" s="135">
        <f t="shared" si="34"/>
        <v>864.02</v>
      </c>
      <c r="F34" s="135">
        <f>ROUND($G$75*$D34,2)</f>
        <v>1834.21</v>
      </c>
      <c r="G34" s="135">
        <f t="shared" si="36"/>
        <v>2698.23</v>
      </c>
      <c r="H34" s="136"/>
      <c r="I34" s="135">
        <f t="shared" si="37"/>
        <v>1080.5899999999999</v>
      </c>
      <c r="J34" s="135">
        <f>ROUND($I$75*$D34,2)</f>
        <v>1834.21</v>
      </c>
      <c r="K34" s="135">
        <f t="shared" si="39"/>
        <v>2914.8</v>
      </c>
      <c r="L34" s="136"/>
      <c r="M34" s="135">
        <f t="shared" si="40"/>
        <v>216.57000000000016</v>
      </c>
      <c r="N34" s="137">
        <f t="shared" si="12"/>
        <v>8.0263728444202376E-2</v>
      </c>
      <c r="O34" s="135"/>
      <c r="P34" s="135">
        <f>ROUND($J$72+$C34*$J$73+$D34*$J$74,2)</f>
        <v>1115.0999999999999</v>
      </c>
      <c r="Q34" s="135">
        <f t="shared" si="42"/>
        <v>1834.21</v>
      </c>
      <c r="R34" s="135">
        <f t="shared" si="14"/>
        <v>2949.31</v>
      </c>
      <c r="S34" s="135"/>
      <c r="T34" s="135">
        <f t="shared" si="15"/>
        <v>34.509999999999764</v>
      </c>
      <c r="U34" s="137">
        <f t="shared" si="16"/>
        <v>1.1839577329490793E-2</v>
      </c>
      <c r="V34" s="135"/>
      <c r="W34" s="135">
        <f>ROUND($K$72+$C34*$K$73+$D34*$K$74,2)</f>
        <v>1112.76</v>
      </c>
      <c r="X34" s="135">
        <f t="shared" si="44"/>
        <v>1834.21</v>
      </c>
      <c r="Y34" s="135">
        <f t="shared" si="9"/>
        <v>2946.9700000000003</v>
      </c>
      <c r="Z34" s="136"/>
      <c r="AA34" s="135">
        <f t="shared" si="17"/>
        <v>-2.3399999999996908</v>
      </c>
      <c r="AB34" s="137">
        <f t="shared" si="18"/>
        <v>-7.934059152817747E-4</v>
      </c>
      <c r="AC34" s="81"/>
    </row>
    <row r="35" spans="1:29" ht="14" x14ac:dyDescent="0.3">
      <c r="A35" s="67">
        <f t="shared" si="0"/>
        <v>35</v>
      </c>
      <c r="B35" s="31"/>
      <c r="C35" s="105">
        <v>60</v>
      </c>
      <c r="D35" s="106">
        <f t="shared" si="33"/>
        <v>23400</v>
      </c>
      <c r="E35" s="135">
        <f t="shared" si="34"/>
        <v>1713.04</v>
      </c>
      <c r="F35" s="135">
        <f t="shared" si="35"/>
        <v>3668.42</v>
      </c>
      <c r="G35" s="135">
        <f t="shared" si="36"/>
        <v>5381.46</v>
      </c>
      <c r="H35" s="136"/>
      <c r="I35" s="135">
        <f t="shared" si="37"/>
        <v>2146.17</v>
      </c>
      <c r="J35" s="135">
        <f t="shared" si="38"/>
        <v>3668.42</v>
      </c>
      <c r="K35" s="135">
        <f t="shared" si="39"/>
        <v>5814.59</v>
      </c>
      <c r="L35" s="136"/>
      <c r="M35" s="135">
        <f t="shared" si="40"/>
        <v>433.13000000000011</v>
      </c>
      <c r="N35" s="137">
        <f t="shared" si="12"/>
        <v>8.0485593129002192E-2</v>
      </c>
      <c r="O35" s="135"/>
      <c r="P35" s="135">
        <f t="shared" si="41"/>
        <v>2215.1999999999998</v>
      </c>
      <c r="Q35" s="135">
        <f t="shared" si="42"/>
        <v>3668.42</v>
      </c>
      <c r="R35" s="135">
        <f t="shared" si="14"/>
        <v>5883.62</v>
      </c>
      <c r="S35" s="135"/>
      <c r="T35" s="135">
        <f t="shared" si="15"/>
        <v>69.029999999999745</v>
      </c>
      <c r="U35" s="137">
        <f t="shared" si="16"/>
        <v>1.1871860268737735E-2</v>
      </c>
      <c r="V35" s="135"/>
      <c r="W35" s="135">
        <f t="shared" si="43"/>
        <v>2210.52</v>
      </c>
      <c r="X35" s="135">
        <f t="shared" si="44"/>
        <v>3668.42</v>
      </c>
      <c r="Y35" s="135">
        <f t="shared" si="9"/>
        <v>5878.9400000000005</v>
      </c>
      <c r="Z35" s="136"/>
      <c r="AA35" s="135">
        <f t="shared" si="17"/>
        <v>-4.6799999999993815</v>
      </c>
      <c r="AB35" s="137">
        <f t="shared" si="18"/>
        <v>-7.9542866466552589E-4</v>
      </c>
      <c r="AC35" s="81"/>
    </row>
    <row r="36" spans="1:29" ht="14" x14ac:dyDescent="0.3">
      <c r="A36" s="67">
        <f t="shared" si="0"/>
        <v>36</v>
      </c>
      <c r="B36" s="31" t="s">
        <v>52</v>
      </c>
      <c r="C36" s="106">
        <v>27</v>
      </c>
      <c r="D36" s="106">
        <f t="shared" si="33"/>
        <v>10530</v>
      </c>
      <c r="E36" s="135">
        <f t="shared" si="34"/>
        <v>779.12</v>
      </c>
      <c r="F36" s="135">
        <f t="shared" si="35"/>
        <v>1650.79</v>
      </c>
      <c r="G36" s="135">
        <f t="shared" si="36"/>
        <v>2429.91</v>
      </c>
      <c r="H36" s="136"/>
      <c r="I36" s="135">
        <f t="shared" si="37"/>
        <v>974.03</v>
      </c>
      <c r="J36" s="135">
        <f t="shared" si="38"/>
        <v>1650.79</v>
      </c>
      <c r="K36" s="135">
        <f t="shared" si="39"/>
        <v>2624.8199999999997</v>
      </c>
      <c r="L36" s="136"/>
      <c r="M36" s="135">
        <f t="shared" si="40"/>
        <v>194.90999999999985</v>
      </c>
      <c r="N36" s="137">
        <f t="shared" si="12"/>
        <v>8.0212847389409425E-2</v>
      </c>
      <c r="O36" s="135"/>
      <c r="P36" s="135">
        <f t="shared" si="41"/>
        <v>1005.09</v>
      </c>
      <c r="Q36" s="135">
        <f t="shared" si="42"/>
        <v>1650.79</v>
      </c>
      <c r="R36" s="135">
        <f t="shared" si="14"/>
        <v>2655.88</v>
      </c>
      <c r="S36" s="135"/>
      <c r="T36" s="135">
        <f t="shared" si="15"/>
        <v>31.0600000000004</v>
      </c>
      <c r="U36" s="137">
        <f t="shared" si="16"/>
        <v>1.1833192371286565E-2</v>
      </c>
      <c r="V36" s="135"/>
      <c r="W36" s="135">
        <f t="shared" si="43"/>
        <v>1002.98</v>
      </c>
      <c r="X36" s="135">
        <f t="shared" si="44"/>
        <v>1650.79</v>
      </c>
      <c r="Y36" s="135">
        <f t="shared" si="9"/>
        <v>2653.77</v>
      </c>
      <c r="Z36" s="136"/>
      <c r="AA36" s="135">
        <f t="shared" si="17"/>
        <v>-2.1100000000001273</v>
      </c>
      <c r="AB36" s="137">
        <f t="shared" si="18"/>
        <v>-7.9446360528341912E-4</v>
      </c>
      <c r="AC36" s="81"/>
    </row>
    <row r="37" spans="1:29" ht="14" x14ac:dyDescent="0.3">
      <c r="A37" s="67">
        <f t="shared" si="0"/>
        <v>37</v>
      </c>
      <c r="B37" s="31"/>
      <c r="C37" s="130"/>
      <c r="D37" s="152"/>
      <c r="E37" s="153"/>
      <c r="F37" s="153"/>
      <c r="G37" s="154"/>
      <c r="H37" s="155"/>
      <c r="I37" s="153"/>
      <c r="J37" s="153"/>
      <c r="K37" s="153"/>
      <c r="L37" s="156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60"/>
    </row>
    <row r="38" spans="1:29" ht="14" x14ac:dyDescent="0.3">
      <c r="A38" s="67">
        <f t="shared" si="0"/>
        <v>38</v>
      </c>
      <c r="B38" s="31"/>
      <c r="D38" s="105"/>
      <c r="E38" s="135"/>
      <c r="F38" s="135"/>
      <c r="G38" s="139"/>
      <c r="H38" s="140"/>
    </row>
    <row r="39" spans="1:29" ht="14" x14ac:dyDescent="0.3">
      <c r="A39" s="67">
        <f t="shared" si="0"/>
        <v>39</v>
      </c>
      <c r="B39" s="31"/>
      <c r="C39" s="44" t="s">
        <v>53</v>
      </c>
      <c r="D39" s="44"/>
      <c r="E39" s="44"/>
      <c r="G39" s="45">
        <f>'EMA R1'!H28</f>
        <v>2024</v>
      </c>
      <c r="I39" s="45">
        <f>'EMA R1'!I28</f>
        <v>2025</v>
      </c>
      <c r="J39" s="45">
        <f>'EMA R1'!J28</f>
        <v>2026</v>
      </c>
      <c r="K39" s="45">
        <f>'EMA R1'!L28</f>
        <v>2027</v>
      </c>
      <c r="M39" s="45" t="str">
        <f>'EMA R1'!M28</f>
        <v>2025 v 2024</v>
      </c>
      <c r="N39" s="45" t="str">
        <f>'EMA R1'!O28</f>
        <v>2026 v 2025</v>
      </c>
      <c r="P39" s="45" t="str">
        <f>'EMA R1'!P28</f>
        <v>2027 v 2026</v>
      </c>
    </row>
    <row r="40" spans="1:29" ht="15.5" x14ac:dyDescent="0.45">
      <c r="A40" s="67">
        <f t="shared" si="0"/>
        <v>40</v>
      </c>
      <c r="B40" s="31"/>
      <c r="C40" s="23" t="s">
        <v>53</v>
      </c>
      <c r="D40" s="23"/>
      <c r="E40" s="44"/>
      <c r="G40" s="47" t="str">
        <f>+'BOS G1ND'!H27</f>
        <v>Rates</v>
      </c>
      <c r="H40" s="116"/>
      <c r="I40" s="47" t="s">
        <v>57</v>
      </c>
      <c r="J40" s="47" t="s">
        <v>57</v>
      </c>
      <c r="K40" s="47" t="s">
        <v>57</v>
      </c>
      <c r="L40" s="37"/>
      <c r="M40" s="48" t="s">
        <v>51</v>
      </c>
      <c r="N40" s="48" t="s">
        <v>51</v>
      </c>
      <c r="O40" s="22"/>
      <c r="P40" s="48" t="s">
        <v>51</v>
      </c>
    </row>
    <row r="41" spans="1:29" ht="14" x14ac:dyDescent="0.3">
      <c r="A41" s="67">
        <f t="shared" si="0"/>
        <v>41</v>
      </c>
      <c r="B41" s="31"/>
      <c r="C41" s="44" t="s">
        <v>58</v>
      </c>
      <c r="D41" s="44"/>
      <c r="E41" s="23"/>
      <c r="G41" s="88">
        <v>15</v>
      </c>
      <c r="H41" s="142"/>
      <c r="I41" s="88">
        <f>+G41</f>
        <v>15</v>
      </c>
      <c r="J41" s="88">
        <f>G41</f>
        <v>15</v>
      </c>
      <c r="K41" s="88">
        <f>J41</f>
        <v>15</v>
      </c>
      <c r="L41" s="37"/>
      <c r="M41" s="50">
        <f t="shared" ref="M41:M70" si="45">+I41-G41</f>
        <v>0</v>
      </c>
      <c r="N41" s="50">
        <f>+J41-I41</f>
        <v>0</v>
      </c>
      <c r="O41" s="50"/>
      <c r="P41" s="50">
        <f>+K41-J41</f>
        <v>0</v>
      </c>
      <c r="Q41" s="89" t="s">
        <v>59</v>
      </c>
    </row>
    <row r="42" spans="1:29" ht="14" x14ac:dyDescent="0.3">
      <c r="A42" s="67">
        <f t="shared" si="0"/>
        <v>42</v>
      </c>
      <c r="B42" s="31"/>
      <c r="C42" s="44" t="s">
        <v>146</v>
      </c>
      <c r="D42" s="44"/>
      <c r="E42" s="23"/>
      <c r="G42" s="88">
        <v>2.38</v>
      </c>
      <c r="H42" s="142"/>
      <c r="I42" s="88">
        <f t="shared" ref="I42:I68" si="46">+G42</f>
        <v>2.38</v>
      </c>
      <c r="J42" s="88">
        <f t="shared" ref="J42:J70" si="47">G42</f>
        <v>2.38</v>
      </c>
      <c r="K42" s="88">
        <f t="shared" ref="K42:K70" si="48">J42</f>
        <v>2.38</v>
      </c>
      <c r="L42" s="37"/>
      <c r="M42" s="50">
        <f t="shared" si="45"/>
        <v>0</v>
      </c>
      <c r="N42" s="50">
        <f t="shared" ref="N42:N70" si="49">+J42-I42</f>
        <v>0</v>
      </c>
      <c r="O42" s="54"/>
      <c r="P42" s="54">
        <f t="shared" ref="P42:P70" si="50">+K42-J42</f>
        <v>0</v>
      </c>
      <c r="Q42" s="89" t="s">
        <v>59</v>
      </c>
    </row>
    <row r="43" spans="1:29" ht="14" x14ac:dyDescent="0.3">
      <c r="A43" s="67">
        <f t="shared" si="0"/>
        <v>43</v>
      </c>
      <c r="B43" s="31"/>
      <c r="C43" s="44" t="s">
        <v>60</v>
      </c>
      <c r="D43" s="44"/>
      <c r="E43" s="23"/>
      <c r="G43" s="91">
        <v>2.3640000000000001E-2</v>
      </c>
      <c r="H43" s="92"/>
      <c r="I43" s="91">
        <f t="shared" si="46"/>
        <v>2.3640000000000001E-2</v>
      </c>
      <c r="J43" s="91">
        <f t="shared" si="47"/>
        <v>2.3640000000000001E-2</v>
      </c>
      <c r="K43" s="91">
        <f t="shared" si="48"/>
        <v>2.3640000000000001E-2</v>
      </c>
      <c r="L43" s="37"/>
      <c r="M43" s="54">
        <f t="shared" si="45"/>
        <v>0</v>
      </c>
      <c r="N43" s="54">
        <f t="shared" si="49"/>
        <v>0</v>
      </c>
      <c r="O43" s="54"/>
      <c r="P43" s="54">
        <f t="shared" si="50"/>
        <v>0</v>
      </c>
      <c r="Q43" s="89" t="s">
        <v>59</v>
      </c>
    </row>
    <row r="44" spans="1:29" ht="14" x14ac:dyDescent="0.3">
      <c r="A44" s="67">
        <f t="shared" si="0"/>
        <v>44</v>
      </c>
      <c r="B44" s="31"/>
      <c r="C44" s="44" t="str">
        <f>+'BOS G1ND'!C30</f>
        <v>Exogenous Cost Adjustment</v>
      </c>
      <c r="D44" s="44"/>
      <c r="E44" s="23"/>
      <c r="G44" s="91">
        <v>7.5000000000000002E-4</v>
      </c>
      <c r="H44" s="92"/>
      <c r="I44" s="91">
        <f t="shared" si="46"/>
        <v>7.5000000000000002E-4</v>
      </c>
      <c r="J44" s="91">
        <f t="shared" si="47"/>
        <v>7.5000000000000002E-4</v>
      </c>
      <c r="K44" s="91">
        <f t="shared" si="48"/>
        <v>7.5000000000000002E-4</v>
      </c>
      <c r="L44" s="37"/>
      <c r="M44" s="54">
        <f t="shared" si="45"/>
        <v>0</v>
      </c>
      <c r="N44" s="54">
        <f t="shared" si="49"/>
        <v>0</v>
      </c>
      <c r="O44" s="54"/>
      <c r="P44" s="54">
        <f t="shared" si="50"/>
        <v>0</v>
      </c>
      <c r="Q44" s="89" t="str">
        <f>+'BOS G1ND'!Q30</f>
        <v>ECA</v>
      </c>
    </row>
    <row r="45" spans="1:29" ht="14" x14ac:dyDescent="0.3">
      <c r="A45" s="67">
        <f t="shared" si="0"/>
        <v>45</v>
      </c>
      <c r="B45" s="31"/>
      <c r="C45" s="44" t="str">
        <f>+'BOS G1ND'!C31</f>
        <v>Revenue Decoupling</v>
      </c>
      <c r="D45" s="44"/>
      <c r="E45" s="23"/>
      <c r="G45" s="91">
        <v>4.0000000000000003E-5</v>
      </c>
      <c r="H45" s="92"/>
      <c r="I45" s="91">
        <f t="shared" si="46"/>
        <v>4.0000000000000003E-5</v>
      </c>
      <c r="J45" s="91">
        <f t="shared" si="47"/>
        <v>4.0000000000000003E-5</v>
      </c>
      <c r="K45" s="91">
        <f t="shared" si="48"/>
        <v>4.0000000000000003E-5</v>
      </c>
      <c r="L45" s="37"/>
      <c r="M45" s="54">
        <f t="shared" si="45"/>
        <v>0</v>
      </c>
      <c r="N45" s="54">
        <f t="shared" si="49"/>
        <v>0</v>
      </c>
      <c r="O45" s="54"/>
      <c r="P45" s="54">
        <f t="shared" si="50"/>
        <v>0</v>
      </c>
      <c r="Q45" s="89" t="str">
        <f>+'BOS G1ND'!Q31</f>
        <v>RDAF</v>
      </c>
    </row>
    <row r="46" spans="1:29" ht="14" x14ac:dyDescent="0.3">
      <c r="A46" s="67">
        <f t="shared" si="0"/>
        <v>46</v>
      </c>
      <c r="B46" s="31"/>
      <c r="C46" s="44" t="str">
        <f>+'BOS G1ND'!C32</f>
        <v>Distributed Solar Charge</v>
      </c>
      <c r="D46" s="44"/>
      <c r="E46" s="23"/>
      <c r="G46" s="91">
        <v>5.8999999999999999E-3</v>
      </c>
      <c r="H46" s="92"/>
      <c r="I46" s="91">
        <f t="shared" si="46"/>
        <v>5.8999999999999999E-3</v>
      </c>
      <c r="J46" s="91">
        <f t="shared" si="47"/>
        <v>5.8999999999999999E-3</v>
      </c>
      <c r="K46" s="91">
        <f t="shared" si="48"/>
        <v>5.8999999999999999E-3</v>
      </c>
      <c r="L46" s="37"/>
      <c r="M46" s="54">
        <f t="shared" si="45"/>
        <v>0</v>
      </c>
      <c r="N46" s="54">
        <f t="shared" si="49"/>
        <v>0</v>
      </c>
      <c r="O46" s="54"/>
      <c r="P46" s="54">
        <f t="shared" si="50"/>
        <v>0</v>
      </c>
      <c r="Q46" s="89" t="str">
        <f>+'BOS G1ND'!Q32</f>
        <v>SMART</v>
      </c>
    </row>
    <row r="47" spans="1:29" ht="14" x14ac:dyDescent="0.3">
      <c r="A47" s="67">
        <f t="shared" si="0"/>
        <v>47</v>
      </c>
      <c r="B47" s="31"/>
      <c r="C47" s="44" t="str">
        <f>+'BOS G1ND'!C33</f>
        <v>Residential Assistance Adjustment Factor</v>
      </c>
      <c r="D47" s="44"/>
      <c r="E47" s="23"/>
      <c r="G47" s="53">
        <v>6.0200000000000002E-3</v>
      </c>
      <c r="H47" s="92"/>
      <c r="I47" s="53">
        <f t="shared" si="46"/>
        <v>6.0200000000000002E-3</v>
      </c>
      <c r="J47" s="53">
        <f t="shared" si="47"/>
        <v>6.0200000000000002E-3</v>
      </c>
      <c r="K47" s="53">
        <f t="shared" si="48"/>
        <v>6.0200000000000002E-3</v>
      </c>
      <c r="L47" s="37"/>
      <c r="M47" s="54">
        <f t="shared" si="45"/>
        <v>0</v>
      </c>
      <c r="N47" s="54">
        <f t="shared" si="49"/>
        <v>0</v>
      </c>
      <c r="O47" s="54"/>
      <c r="P47" s="54">
        <f t="shared" si="50"/>
        <v>0</v>
      </c>
      <c r="Q47" s="89" t="str">
        <f>+'BOS G1ND'!Q33</f>
        <v>RAAF</v>
      </c>
    </row>
    <row r="48" spans="1:29" ht="14" x14ac:dyDescent="0.3">
      <c r="A48" s="67">
        <f t="shared" si="0"/>
        <v>48</v>
      </c>
      <c r="B48" s="31"/>
      <c r="C48" s="44" t="str">
        <f>+'BOS G1ND'!C34</f>
        <v>Pension Adjustment Factor</v>
      </c>
      <c r="D48" s="44"/>
      <c r="E48" s="23"/>
      <c r="G48" s="53">
        <v>5.8E-4</v>
      </c>
      <c r="H48" s="92"/>
      <c r="I48" s="53">
        <f t="shared" si="46"/>
        <v>5.8E-4</v>
      </c>
      <c r="J48" s="53">
        <f t="shared" si="47"/>
        <v>5.8E-4</v>
      </c>
      <c r="K48" s="53">
        <f t="shared" si="48"/>
        <v>5.8E-4</v>
      </c>
      <c r="L48" s="37"/>
      <c r="M48" s="54">
        <f t="shared" si="45"/>
        <v>0</v>
      </c>
      <c r="N48" s="54">
        <f t="shared" si="49"/>
        <v>0</v>
      </c>
      <c r="O48" s="54"/>
      <c r="P48" s="54">
        <f t="shared" si="50"/>
        <v>0</v>
      </c>
      <c r="Q48" s="89" t="str">
        <f>+'BOS G1ND'!Q34</f>
        <v>PAF</v>
      </c>
    </row>
    <row r="49" spans="1:17" ht="14" x14ac:dyDescent="0.3">
      <c r="A49" s="67">
        <f t="shared" si="0"/>
        <v>49</v>
      </c>
      <c r="B49" s="31"/>
      <c r="C49" s="44" t="str">
        <f>+'BOS G1ND'!C35</f>
        <v>Net Metering Recovery Surcharge</v>
      </c>
      <c r="D49" s="44"/>
      <c r="E49" s="23"/>
      <c r="G49" s="91">
        <v>1.197E-2</v>
      </c>
      <c r="H49" s="92"/>
      <c r="I49" s="91">
        <f t="shared" si="46"/>
        <v>1.197E-2</v>
      </c>
      <c r="J49" s="91">
        <f t="shared" si="47"/>
        <v>1.197E-2</v>
      </c>
      <c r="K49" s="91">
        <f t="shared" si="48"/>
        <v>1.197E-2</v>
      </c>
      <c r="L49" s="37"/>
      <c r="M49" s="54">
        <f t="shared" si="45"/>
        <v>0</v>
      </c>
      <c r="N49" s="54">
        <f t="shared" si="49"/>
        <v>0</v>
      </c>
      <c r="O49" s="54"/>
      <c r="P49" s="54">
        <f t="shared" si="50"/>
        <v>0</v>
      </c>
      <c r="Q49" s="89" t="str">
        <f>+'BOS G1ND'!Q35</f>
        <v>NMRS</v>
      </c>
    </row>
    <row r="50" spans="1:17" ht="14" x14ac:dyDescent="0.3">
      <c r="A50" s="67">
        <f t="shared" si="0"/>
        <v>50</v>
      </c>
      <c r="B50" s="31"/>
      <c r="C50" s="44" t="str">
        <f>+'BOS G1ND'!C36</f>
        <v>Long Term Renewable Contract Adjustment</v>
      </c>
      <c r="D50" s="44"/>
      <c r="E50" s="23"/>
      <c r="G50" s="53">
        <v>-1.9300000000000001E-3</v>
      </c>
      <c r="H50" s="92"/>
      <c r="I50" s="53">
        <f t="shared" si="46"/>
        <v>-1.9300000000000001E-3</v>
      </c>
      <c r="J50" s="53">
        <f t="shared" si="47"/>
        <v>-1.9300000000000001E-3</v>
      </c>
      <c r="K50" s="53">
        <f t="shared" si="48"/>
        <v>-1.9300000000000001E-3</v>
      </c>
      <c r="L50" s="37"/>
      <c r="M50" s="54">
        <f t="shared" si="45"/>
        <v>0</v>
      </c>
      <c r="N50" s="54">
        <f t="shared" si="49"/>
        <v>0</v>
      </c>
      <c r="O50" s="54"/>
      <c r="P50" s="54">
        <f t="shared" si="50"/>
        <v>0</v>
      </c>
      <c r="Q50" s="89" t="str">
        <f>+'BOS G1ND'!Q36</f>
        <v>LTRCA</v>
      </c>
    </row>
    <row r="51" spans="1:17" ht="14" x14ac:dyDescent="0.3">
      <c r="A51" s="67">
        <f t="shared" si="0"/>
        <v>51</v>
      </c>
      <c r="B51" s="31"/>
      <c r="C51" s="44" t="str">
        <f>+'BOS G1ND'!C37</f>
        <v>AG Consulting Expense</v>
      </c>
      <c r="D51" s="44"/>
      <c r="E51" s="23"/>
      <c r="G51" s="53">
        <v>4.0000000000000003E-5</v>
      </c>
      <c r="H51" s="92"/>
      <c r="I51" s="53">
        <f t="shared" si="46"/>
        <v>4.0000000000000003E-5</v>
      </c>
      <c r="J51" s="53">
        <f t="shared" si="47"/>
        <v>4.0000000000000003E-5</v>
      </c>
      <c r="K51" s="53">
        <f t="shared" si="48"/>
        <v>4.0000000000000003E-5</v>
      </c>
      <c r="L51" s="37"/>
      <c r="M51" s="54">
        <f t="shared" si="45"/>
        <v>0</v>
      </c>
      <c r="N51" s="54">
        <f t="shared" si="49"/>
        <v>0</v>
      </c>
      <c r="O51" s="54"/>
      <c r="P51" s="54">
        <f t="shared" si="50"/>
        <v>0</v>
      </c>
      <c r="Q51" s="89" t="str">
        <f>+'BOS G1ND'!Q37</f>
        <v>AGCE</v>
      </c>
    </row>
    <row r="52" spans="1:17" ht="14" x14ac:dyDescent="0.3">
      <c r="A52" s="67">
        <f t="shared" si="0"/>
        <v>52</v>
      </c>
      <c r="B52" s="31"/>
      <c r="C52" s="44" t="str">
        <f>+'BOS G1ND'!C38</f>
        <v>Storm Cost Recovery Adjustment Factor</v>
      </c>
      <c r="D52" s="23"/>
      <c r="E52" s="23"/>
      <c r="G52" s="53">
        <v>4.8900000000000002E-3</v>
      </c>
      <c r="H52" s="92"/>
      <c r="I52" s="53">
        <f t="shared" si="46"/>
        <v>4.8900000000000002E-3</v>
      </c>
      <c r="J52" s="53">
        <f t="shared" si="47"/>
        <v>4.8900000000000002E-3</v>
      </c>
      <c r="K52" s="53">
        <f t="shared" si="48"/>
        <v>4.8900000000000002E-3</v>
      </c>
      <c r="L52" s="37"/>
      <c r="M52" s="54">
        <f t="shared" si="45"/>
        <v>0</v>
      </c>
      <c r="N52" s="54">
        <f t="shared" si="49"/>
        <v>0</v>
      </c>
      <c r="O52" s="54"/>
      <c r="P52" s="54">
        <f t="shared" si="50"/>
        <v>0</v>
      </c>
      <c r="Q52" s="89" t="str">
        <f>+'BOS G1ND'!Q38</f>
        <v>SCRA</v>
      </c>
    </row>
    <row r="53" spans="1:17" ht="14" x14ac:dyDescent="0.3">
      <c r="A53" s="67">
        <f t="shared" si="0"/>
        <v>53</v>
      </c>
      <c r="B53" s="31"/>
      <c r="C53" s="44" t="str">
        <f>+'BOS G1ND'!C39</f>
        <v>Storm Reserve Adjustment</v>
      </c>
      <c r="D53" s="23"/>
      <c r="E53" s="23"/>
      <c r="G53" s="53">
        <v>0</v>
      </c>
      <c r="H53" s="92"/>
      <c r="I53" s="53">
        <f t="shared" si="46"/>
        <v>0</v>
      </c>
      <c r="J53" s="53">
        <f t="shared" si="47"/>
        <v>0</v>
      </c>
      <c r="K53" s="53">
        <f t="shared" si="48"/>
        <v>0</v>
      </c>
      <c r="L53" s="37"/>
      <c r="M53" s="54">
        <f t="shared" si="45"/>
        <v>0</v>
      </c>
      <c r="N53" s="54">
        <f t="shared" si="49"/>
        <v>0</v>
      </c>
      <c r="O53" s="54"/>
      <c r="P53" s="54">
        <f t="shared" si="50"/>
        <v>0</v>
      </c>
      <c r="Q53" s="89" t="str">
        <f>+'BOS G1ND'!Q39</f>
        <v>SRA</v>
      </c>
    </row>
    <row r="54" spans="1:17" ht="14" x14ac:dyDescent="0.3">
      <c r="A54" s="67">
        <f t="shared" si="0"/>
        <v>54</v>
      </c>
      <c r="B54" s="31"/>
      <c r="C54" s="44" t="str">
        <f>+'BOS G1ND'!C40</f>
        <v>Basic Service Cost True Up Factor</v>
      </c>
      <c r="D54" s="23"/>
      <c r="E54" s="23"/>
      <c r="G54" s="53">
        <v>-3.4000000000000002E-4</v>
      </c>
      <c r="H54" s="92"/>
      <c r="I54" s="53">
        <f t="shared" si="46"/>
        <v>-3.4000000000000002E-4</v>
      </c>
      <c r="J54" s="53">
        <f t="shared" si="47"/>
        <v>-3.4000000000000002E-4</v>
      </c>
      <c r="K54" s="53">
        <f t="shared" si="48"/>
        <v>-3.4000000000000002E-4</v>
      </c>
      <c r="L54" s="37"/>
      <c r="M54" s="54">
        <f t="shared" si="45"/>
        <v>0</v>
      </c>
      <c r="N54" s="54">
        <f t="shared" si="49"/>
        <v>0</v>
      </c>
      <c r="O54" s="54"/>
      <c r="P54" s="54">
        <f t="shared" si="50"/>
        <v>0</v>
      </c>
      <c r="Q54" s="89" t="str">
        <f>+'BOS G1ND'!Q40</f>
        <v>BSTF</v>
      </c>
    </row>
    <row r="55" spans="1:17" ht="14" x14ac:dyDescent="0.3">
      <c r="A55" s="67">
        <f t="shared" si="0"/>
        <v>55</v>
      </c>
      <c r="B55" s="31"/>
      <c r="C55" s="44" t="str">
        <f>+'BOS G1ND'!C41</f>
        <v>Solar Program Cost Adjustment Factor</v>
      </c>
      <c r="D55" s="37"/>
      <c r="E55" s="37"/>
      <c r="F55" s="53"/>
      <c r="G55" s="53">
        <v>1.0000000000000001E-5</v>
      </c>
      <c r="H55" s="53"/>
      <c r="I55" s="53">
        <f t="shared" si="46"/>
        <v>1.0000000000000001E-5</v>
      </c>
      <c r="J55" s="53">
        <f t="shared" si="47"/>
        <v>1.0000000000000001E-5</v>
      </c>
      <c r="K55" s="53">
        <f t="shared" si="48"/>
        <v>1.0000000000000001E-5</v>
      </c>
      <c r="L55" s="37"/>
      <c r="M55" s="54">
        <f t="shared" si="45"/>
        <v>0</v>
      </c>
      <c r="N55" s="54">
        <f t="shared" si="49"/>
        <v>0</v>
      </c>
      <c r="O55" s="54"/>
      <c r="P55" s="54">
        <f t="shared" si="50"/>
        <v>0</v>
      </c>
      <c r="Q55" s="89" t="str">
        <f>+'BOS G1ND'!Q41</f>
        <v>SPCA</v>
      </c>
    </row>
    <row r="56" spans="1:17" ht="14" x14ac:dyDescent="0.3">
      <c r="A56" s="67">
        <f t="shared" si="0"/>
        <v>56</v>
      </c>
      <c r="B56" s="31"/>
      <c r="C56" s="44" t="str">
        <f>+'BOS G1ND'!C42</f>
        <v>Solar Expansion Cost Recovery Factor</v>
      </c>
      <c r="D56" s="37"/>
      <c r="E56" s="37"/>
      <c r="F56" s="53"/>
      <c r="G56" s="53">
        <v>-3.6999999999999999E-4</v>
      </c>
      <c r="H56" s="53"/>
      <c r="I56" s="53">
        <f t="shared" si="46"/>
        <v>-3.6999999999999999E-4</v>
      </c>
      <c r="J56" s="53">
        <f t="shared" si="47"/>
        <v>-3.6999999999999999E-4</v>
      </c>
      <c r="K56" s="53">
        <f t="shared" si="48"/>
        <v>-3.6999999999999999E-4</v>
      </c>
      <c r="L56" s="37"/>
      <c r="M56" s="54">
        <f t="shared" si="45"/>
        <v>0</v>
      </c>
      <c r="N56" s="54">
        <f t="shared" si="49"/>
        <v>0</v>
      </c>
      <c r="O56" s="54"/>
      <c r="P56" s="54">
        <f t="shared" si="50"/>
        <v>0</v>
      </c>
      <c r="Q56" s="89" t="str">
        <f>+'BOS G1ND'!Q42</f>
        <v>SECRF</v>
      </c>
    </row>
    <row r="57" spans="1:17" ht="14" x14ac:dyDescent="0.3">
      <c r="A57" s="67">
        <f t="shared" si="0"/>
        <v>57</v>
      </c>
      <c r="B57" s="31"/>
      <c r="C57" s="44" t="str">
        <f>+'BOS G1ND'!C43</f>
        <v>Vegetation Management</v>
      </c>
      <c r="D57" s="44"/>
      <c r="E57" s="23"/>
      <c r="G57" s="53">
        <v>1.2999999999999999E-3</v>
      </c>
      <c r="H57" s="92"/>
      <c r="I57" s="53">
        <f t="shared" si="46"/>
        <v>1.2999999999999999E-3</v>
      </c>
      <c r="J57" s="53">
        <f t="shared" si="47"/>
        <v>1.2999999999999999E-3</v>
      </c>
      <c r="K57" s="53">
        <f t="shared" si="48"/>
        <v>1.2999999999999999E-3</v>
      </c>
      <c r="L57" s="37"/>
      <c r="M57" s="54">
        <f t="shared" si="45"/>
        <v>0</v>
      </c>
      <c r="N57" s="54">
        <f t="shared" si="49"/>
        <v>0</v>
      </c>
      <c r="O57" s="54"/>
      <c r="P57" s="54">
        <f t="shared" si="50"/>
        <v>0</v>
      </c>
      <c r="Q57" s="89" t="str">
        <f>+'BOS G1ND'!Q43</f>
        <v>RTWF</v>
      </c>
    </row>
    <row r="58" spans="1:17" ht="14" x14ac:dyDescent="0.3">
      <c r="A58" s="67">
        <f t="shared" si="0"/>
        <v>58</v>
      </c>
      <c r="B58" s="31"/>
      <c r="C58" s="44" t="str">
        <f>+'BOS G1ND'!C44</f>
        <v>Tax Act Credit Factor</v>
      </c>
      <c r="D58" s="44"/>
      <c r="E58" s="23"/>
      <c r="G58" s="53">
        <v>-1.33E-3</v>
      </c>
      <c r="H58" s="92"/>
      <c r="I58" s="53">
        <f t="shared" si="46"/>
        <v>-1.33E-3</v>
      </c>
      <c r="J58" s="53">
        <f t="shared" si="47"/>
        <v>-1.33E-3</v>
      </c>
      <c r="K58" s="53">
        <f t="shared" si="48"/>
        <v>-1.33E-3</v>
      </c>
      <c r="L58" s="37"/>
      <c r="M58" s="54">
        <f t="shared" si="45"/>
        <v>0</v>
      </c>
      <c r="N58" s="54">
        <f t="shared" si="49"/>
        <v>0</v>
      </c>
      <c r="O58" s="54"/>
      <c r="P58" s="54">
        <f t="shared" si="50"/>
        <v>0</v>
      </c>
      <c r="Q58" s="89" t="str">
        <f>+'BOS G1ND'!Q44</f>
        <v>TACF</v>
      </c>
    </row>
    <row r="59" spans="1:17" ht="14" x14ac:dyDescent="0.3">
      <c r="A59" s="67">
        <f t="shared" si="0"/>
        <v>59</v>
      </c>
      <c r="B59" s="31"/>
      <c r="C59" s="44" t="str">
        <f>+'BOS G1ND'!C45</f>
        <v>Grid Modernization</v>
      </c>
      <c r="D59" s="44"/>
      <c r="E59" s="23"/>
      <c r="G59" s="53">
        <v>1.65E-3</v>
      </c>
      <c r="H59" s="92"/>
      <c r="I59" s="53">
        <f t="shared" si="46"/>
        <v>1.65E-3</v>
      </c>
      <c r="J59" s="53">
        <f t="shared" si="47"/>
        <v>1.65E-3</v>
      </c>
      <c r="K59" s="53">
        <f t="shared" si="48"/>
        <v>1.65E-3</v>
      </c>
      <c r="L59" s="37"/>
      <c r="M59" s="54">
        <f t="shared" si="45"/>
        <v>0</v>
      </c>
      <c r="N59" s="54">
        <f t="shared" si="49"/>
        <v>0</v>
      </c>
      <c r="O59" s="54"/>
      <c r="P59" s="54">
        <f t="shared" si="50"/>
        <v>0</v>
      </c>
      <c r="Q59" s="89" t="str">
        <f>+'BOS G1ND'!Q45</f>
        <v>GMOD</v>
      </c>
    </row>
    <row r="60" spans="1:17" ht="14" x14ac:dyDescent="0.3">
      <c r="A60" s="67">
        <f t="shared" si="0"/>
        <v>60</v>
      </c>
      <c r="B60" s="31"/>
      <c r="C60" s="44" t="str">
        <f>+'BOS G1ND'!C46</f>
        <v>Advanced Metering Infrastructure</v>
      </c>
      <c r="D60" s="44"/>
      <c r="E60" s="23"/>
      <c r="G60" s="53">
        <v>2.1900000000000001E-3</v>
      </c>
      <c r="H60" s="92"/>
      <c r="I60" s="53">
        <f t="shared" si="46"/>
        <v>2.1900000000000001E-3</v>
      </c>
      <c r="J60" s="53">
        <f t="shared" si="47"/>
        <v>2.1900000000000001E-3</v>
      </c>
      <c r="K60" s="53">
        <f t="shared" si="48"/>
        <v>2.1900000000000001E-3</v>
      </c>
      <c r="L60" s="37"/>
      <c r="M60" s="54">
        <f t="shared" si="45"/>
        <v>0</v>
      </c>
      <c r="N60" s="54">
        <f t="shared" si="49"/>
        <v>0</v>
      </c>
      <c r="O60" s="54"/>
      <c r="P60" s="54">
        <f t="shared" si="50"/>
        <v>0</v>
      </c>
      <c r="Q60" s="89" t="str">
        <f>+'BOS G1ND'!Q46</f>
        <v>AMIF</v>
      </c>
    </row>
    <row r="61" spans="1:17" ht="14" x14ac:dyDescent="0.3">
      <c r="A61" s="67">
        <f t="shared" si="0"/>
        <v>61</v>
      </c>
      <c r="B61" s="31"/>
      <c r="C61" s="44" t="str">
        <f>+'BOS G1ND'!C47</f>
        <v>Electronic Payment Recovery</v>
      </c>
      <c r="D61" s="44"/>
      <c r="E61" s="23"/>
      <c r="G61" s="53">
        <v>0</v>
      </c>
      <c r="H61" s="92"/>
      <c r="I61" s="53">
        <f t="shared" si="46"/>
        <v>0</v>
      </c>
      <c r="J61" s="53">
        <f t="shared" si="47"/>
        <v>0</v>
      </c>
      <c r="K61" s="53">
        <f t="shared" si="48"/>
        <v>0</v>
      </c>
      <c r="L61" s="37"/>
      <c r="M61" s="54">
        <f t="shared" si="45"/>
        <v>0</v>
      </c>
      <c r="N61" s="54">
        <f t="shared" si="49"/>
        <v>0</v>
      </c>
      <c r="O61" s="54"/>
      <c r="P61" s="54">
        <f t="shared" si="50"/>
        <v>0</v>
      </c>
      <c r="Q61" s="89" t="str">
        <f>+'BOS G1ND'!Q47</f>
        <v>EPR</v>
      </c>
    </row>
    <row r="62" spans="1:17" ht="14" x14ac:dyDescent="0.3">
      <c r="A62" s="67">
        <f t="shared" si="0"/>
        <v>62</v>
      </c>
      <c r="B62" s="31"/>
      <c r="C62" s="44" t="str">
        <f>+'BOS G1ND'!C48</f>
        <v>Provisional System Planning Factor</v>
      </c>
      <c r="D62" s="44"/>
      <c r="E62" s="23"/>
      <c r="G62" s="91">
        <v>0</v>
      </c>
      <c r="H62" s="92"/>
      <c r="I62" s="91">
        <f t="shared" si="46"/>
        <v>0</v>
      </c>
      <c r="J62" s="91">
        <f t="shared" si="47"/>
        <v>0</v>
      </c>
      <c r="K62" s="91">
        <f t="shared" si="48"/>
        <v>0</v>
      </c>
      <c r="L62" s="37"/>
      <c r="M62" s="54">
        <f t="shared" si="45"/>
        <v>0</v>
      </c>
      <c r="N62" s="54">
        <f t="shared" si="49"/>
        <v>0</v>
      </c>
      <c r="O62" s="54"/>
      <c r="P62" s="54">
        <f t="shared" si="50"/>
        <v>0</v>
      </c>
      <c r="Q62" s="89" t="str">
        <f>+'BOS G1ND'!Q48</f>
        <v>PSPF</v>
      </c>
    </row>
    <row r="63" spans="1:17" ht="14" x14ac:dyDescent="0.3">
      <c r="A63" s="67">
        <f t="shared" si="0"/>
        <v>63</v>
      </c>
      <c r="B63" s="31"/>
      <c r="C63" s="44" t="str">
        <f>+'BOS G1ND'!C49</f>
        <v>Electric Vehicle Factor</v>
      </c>
      <c r="D63" s="44"/>
      <c r="E63" s="23"/>
      <c r="G63" s="91">
        <v>1.0300000000000001E-3</v>
      </c>
      <c r="H63" s="92"/>
      <c r="I63" s="91">
        <f t="shared" si="46"/>
        <v>1.0300000000000001E-3</v>
      </c>
      <c r="J63" s="91">
        <f t="shared" si="47"/>
        <v>1.0300000000000001E-3</v>
      </c>
      <c r="K63" s="91">
        <f t="shared" si="48"/>
        <v>1.0300000000000001E-3</v>
      </c>
      <c r="L63" s="37"/>
      <c r="M63" s="54">
        <f t="shared" si="45"/>
        <v>0</v>
      </c>
      <c r="N63" s="54">
        <f t="shared" si="49"/>
        <v>0</v>
      </c>
      <c r="O63" s="54"/>
      <c r="P63" s="54">
        <f t="shared" si="50"/>
        <v>0</v>
      </c>
      <c r="Q63" s="89" t="str">
        <f>+'BOS G1ND'!Q49</f>
        <v>EVF</v>
      </c>
    </row>
    <row r="64" spans="1:17" ht="14" x14ac:dyDescent="0.3">
      <c r="A64" s="67">
        <f t="shared" si="0"/>
        <v>64</v>
      </c>
      <c r="B64" s="31"/>
      <c r="C64" s="44" t="str">
        <f>+'BOS G1ND'!C50</f>
        <v>Transition</v>
      </c>
      <c r="D64" s="23"/>
      <c r="E64" s="23"/>
      <c r="G64" s="91">
        <v>-3.6999999999999999E-4</v>
      </c>
      <c r="H64" s="92"/>
      <c r="I64" s="91">
        <f t="shared" si="46"/>
        <v>-3.6999999999999999E-4</v>
      </c>
      <c r="J64" s="91">
        <f t="shared" si="47"/>
        <v>-3.6999999999999999E-4</v>
      </c>
      <c r="K64" s="91">
        <f t="shared" si="48"/>
        <v>-3.6999999999999999E-4</v>
      </c>
      <c r="L64" s="37"/>
      <c r="M64" s="54">
        <f t="shared" si="45"/>
        <v>0</v>
      </c>
      <c r="N64" s="54">
        <f t="shared" si="49"/>
        <v>0</v>
      </c>
      <c r="O64" s="54"/>
      <c r="P64" s="54">
        <f t="shared" si="50"/>
        <v>0</v>
      </c>
      <c r="Q64" s="89" t="str">
        <f>+'BOS G1ND'!Q50</f>
        <v>TRNSN</v>
      </c>
    </row>
    <row r="65" spans="1:17" ht="14" x14ac:dyDescent="0.3">
      <c r="A65" s="67">
        <f t="shared" si="0"/>
        <v>65</v>
      </c>
      <c r="B65" s="31"/>
      <c r="C65" s="44" t="s">
        <v>147</v>
      </c>
      <c r="D65" s="23"/>
      <c r="E65" s="23"/>
      <c r="G65" s="88">
        <v>6.21</v>
      </c>
      <c r="H65" s="136"/>
      <c r="I65" s="88">
        <f t="shared" si="46"/>
        <v>6.21</v>
      </c>
      <c r="J65" s="88">
        <f t="shared" si="47"/>
        <v>6.21</v>
      </c>
      <c r="K65" s="88">
        <f t="shared" si="48"/>
        <v>6.21</v>
      </c>
      <c r="L65" s="37"/>
      <c r="M65" s="50">
        <f t="shared" si="45"/>
        <v>0</v>
      </c>
      <c r="N65" s="50">
        <f t="shared" si="49"/>
        <v>0</v>
      </c>
      <c r="O65" s="50"/>
      <c r="P65" s="50">
        <f t="shared" si="50"/>
        <v>0</v>
      </c>
      <c r="Q65" s="51" t="s">
        <v>104</v>
      </c>
    </row>
    <row r="66" spans="1:17" ht="14" x14ac:dyDescent="0.3">
      <c r="A66" s="67">
        <f t="shared" si="0"/>
        <v>66</v>
      </c>
      <c r="B66" s="31"/>
      <c r="C66" s="44" t="s">
        <v>103</v>
      </c>
      <c r="D66" s="44"/>
      <c r="E66" s="23"/>
      <c r="G66" s="91">
        <v>0</v>
      </c>
      <c r="H66" s="92"/>
      <c r="I66" s="91">
        <f t="shared" si="46"/>
        <v>0</v>
      </c>
      <c r="J66" s="91">
        <f t="shared" si="47"/>
        <v>0</v>
      </c>
      <c r="K66" s="91">
        <f t="shared" si="48"/>
        <v>0</v>
      </c>
      <c r="L66" s="37"/>
      <c r="M66" s="54">
        <f t="shared" si="45"/>
        <v>0</v>
      </c>
      <c r="N66" s="54">
        <f t="shared" si="49"/>
        <v>0</v>
      </c>
      <c r="O66" s="54"/>
      <c r="P66" s="54">
        <f t="shared" si="50"/>
        <v>0</v>
      </c>
      <c r="Q66" s="51" t="s">
        <v>104</v>
      </c>
    </row>
    <row r="67" spans="1:17" ht="14" x14ac:dyDescent="0.3">
      <c r="A67" s="67">
        <f t="shared" ref="A67:A70" si="51">A66+1</f>
        <v>67</v>
      </c>
      <c r="B67" s="31"/>
      <c r="C67" s="44" t="s">
        <v>105</v>
      </c>
      <c r="F67" s="44"/>
      <c r="G67" s="91">
        <v>-8.1300000000000001E-3</v>
      </c>
      <c r="H67" s="92"/>
      <c r="I67" s="91">
        <v>1.038E-2</v>
      </c>
      <c r="J67" s="91">
        <v>1.333E-2</v>
      </c>
      <c r="K67" s="91">
        <v>1.3129999999999999E-2</v>
      </c>
      <c r="L67" s="37"/>
      <c r="M67" s="54">
        <f t="shared" si="45"/>
        <v>1.8509999999999999E-2</v>
      </c>
      <c r="N67" s="54">
        <f t="shared" si="49"/>
        <v>2.9499999999999995E-3</v>
      </c>
      <c r="O67" s="54"/>
      <c r="P67" s="54">
        <f t="shared" si="50"/>
        <v>-2.0000000000000052E-4</v>
      </c>
      <c r="Q67" s="89" t="s">
        <v>106</v>
      </c>
    </row>
    <row r="68" spans="1:17" ht="14" x14ac:dyDescent="0.3">
      <c r="A68" s="67">
        <f t="shared" si="51"/>
        <v>68</v>
      </c>
      <c r="B68" s="31"/>
      <c r="C68" s="44" t="s">
        <v>107</v>
      </c>
      <c r="F68" s="44"/>
      <c r="G68" s="91">
        <v>2.5000000000000001E-3</v>
      </c>
      <c r="H68" s="92"/>
      <c r="I68" s="91">
        <f t="shared" si="46"/>
        <v>2.5000000000000001E-3</v>
      </c>
      <c r="J68" s="91">
        <f t="shared" si="47"/>
        <v>2.5000000000000001E-3</v>
      </c>
      <c r="K68" s="91">
        <f t="shared" si="48"/>
        <v>2.5000000000000001E-3</v>
      </c>
      <c r="L68" s="37"/>
      <c r="M68" s="54">
        <f t="shared" si="45"/>
        <v>0</v>
      </c>
      <c r="N68" s="54">
        <f t="shared" si="49"/>
        <v>0</v>
      </c>
      <c r="O68" s="54"/>
      <c r="P68" s="54">
        <f t="shared" si="50"/>
        <v>0</v>
      </c>
      <c r="Q68" s="89" t="s">
        <v>108</v>
      </c>
    </row>
    <row r="69" spans="1:17" ht="14" x14ac:dyDescent="0.3">
      <c r="A69" s="67">
        <f t="shared" si="51"/>
        <v>69</v>
      </c>
      <c r="B69" s="31"/>
      <c r="C69" s="44" t="s">
        <v>109</v>
      </c>
      <c r="G69" s="91">
        <v>5.0000000000000001E-4</v>
      </c>
      <c r="H69" s="92"/>
      <c r="I69" s="91">
        <f>+G69</f>
        <v>5.0000000000000001E-4</v>
      </c>
      <c r="J69" s="91">
        <f t="shared" si="47"/>
        <v>5.0000000000000001E-4</v>
      </c>
      <c r="K69" s="91">
        <f t="shared" si="48"/>
        <v>5.0000000000000001E-4</v>
      </c>
      <c r="L69" s="2"/>
      <c r="M69" s="54">
        <f t="shared" si="45"/>
        <v>0</v>
      </c>
      <c r="N69" s="54">
        <f t="shared" si="49"/>
        <v>0</v>
      </c>
      <c r="O69" s="54"/>
      <c r="P69" s="54">
        <f t="shared" si="50"/>
        <v>0</v>
      </c>
      <c r="Q69" s="89" t="s">
        <v>110</v>
      </c>
    </row>
    <row r="70" spans="1:17" ht="14" x14ac:dyDescent="0.3">
      <c r="A70" s="67">
        <f t="shared" si="51"/>
        <v>70</v>
      </c>
      <c r="B70" s="31"/>
      <c r="C70" s="44" t="s">
        <v>111</v>
      </c>
      <c r="G70" s="53">
        <v>0.15676999999999999</v>
      </c>
      <c r="H70" s="92"/>
      <c r="I70" s="53">
        <f>+G70</f>
        <v>0.15676999999999999</v>
      </c>
      <c r="J70" s="53">
        <f t="shared" si="47"/>
        <v>0.15676999999999999</v>
      </c>
      <c r="K70" s="53">
        <f t="shared" si="48"/>
        <v>0.15676999999999999</v>
      </c>
      <c r="L70" s="2"/>
      <c r="M70" s="54">
        <f t="shared" si="45"/>
        <v>0</v>
      </c>
      <c r="N70" s="54">
        <f t="shared" si="49"/>
        <v>0</v>
      </c>
      <c r="O70" s="54"/>
      <c r="P70" s="54">
        <f t="shared" si="50"/>
        <v>0</v>
      </c>
      <c r="Q70" s="89" t="s">
        <v>112</v>
      </c>
    </row>
    <row r="71" spans="1:17" ht="14" x14ac:dyDescent="0.3">
      <c r="A71" s="67"/>
      <c r="B71" s="31"/>
      <c r="C71" s="44"/>
      <c r="G71" s="92"/>
      <c r="H71" s="92"/>
      <c r="I71" s="53"/>
      <c r="J71" s="53"/>
      <c r="K71" s="53"/>
      <c r="L71" s="2"/>
      <c r="M71" s="54"/>
      <c r="N71" s="54"/>
      <c r="O71" s="54"/>
      <c r="P71" s="54"/>
    </row>
    <row r="72" spans="1:17" ht="14" x14ac:dyDescent="0.3">
      <c r="A72" s="67"/>
      <c r="B72" s="31"/>
      <c r="C72" s="44" t="s">
        <v>58</v>
      </c>
      <c r="G72" s="136">
        <f>+G41</f>
        <v>15</v>
      </c>
      <c r="H72" s="136"/>
      <c r="I72" s="136">
        <f>+I41</f>
        <v>15</v>
      </c>
      <c r="J72" s="136">
        <f t="shared" ref="J72:K72" si="52">+J41</f>
        <v>15</v>
      </c>
      <c r="K72" s="136">
        <f t="shared" si="52"/>
        <v>15</v>
      </c>
    </row>
    <row r="73" spans="1:17" ht="14" x14ac:dyDescent="0.3">
      <c r="A73" s="67"/>
      <c r="B73" s="31"/>
      <c r="C73" s="44" t="s">
        <v>148</v>
      </c>
      <c r="G73" s="136">
        <f>SUM(G42,G65)</f>
        <v>8.59</v>
      </c>
      <c r="H73" s="136"/>
      <c r="I73" s="136">
        <f>SUM(I42,I65)</f>
        <v>8.59</v>
      </c>
      <c r="J73" s="136">
        <f t="shared" ref="J73:K73" si="53">SUM(J42,J65)</f>
        <v>8.59</v>
      </c>
      <c r="K73" s="136">
        <f t="shared" si="53"/>
        <v>8.59</v>
      </c>
    </row>
    <row r="74" spans="1:17" ht="14" x14ac:dyDescent="0.3">
      <c r="A74" s="67"/>
      <c r="B74" s="31"/>
      <c r="C74" s="44" t="s">
        <v>149</v>
      </c>
      <c r="G74" s="91">
        <f>SUM(G43:G64,G66:G69)</f>
        <v>5.0540000000000002E-2</v>
      </c>
      <c r="H74" s="92"/>
      <c r="I74" s="91">
        <f>SUM(I43:I64,I66:I69)</f>
        <v>6.905E-2</v>
      </c>
      <c r="J74" s="91">
        <f t="shared" ref="J74:K74" si="54">SUM(J43:J64,J66:J69)</f>
        <v>7.1999999999999995E-2</v>
      </c>
      <c r="K74" s="91">
        <f t="shared" si="54"/>
        <v>7.1800000000000003E-2</v>
      </c>
    </row>
    <row r="75" spans="1:17" ht="14" x14ac:dyDescent="0.3">
      <c r="A75" s="67"/>
      <c r="B75" s="31"/>
      <c r="C75" s="44" t="s">
        <v>123</v>
      </c>
      <c r="G75" s="91">
        <f>+G70</f>
        <v>0.15676999999999999</v>
      </c>
      <c r="H75" s="92"/>
      <c r="I75" s="91">
        <f>+I70</f>
        <v>0.15676999999999999</v>
      </c>
      <c r="J75" s="91">
        <f t="shared" ref="J75:K75" si="55">+J70</f>
        <v>0.15676999999999999</v>
      </c>
      <c r="K75" s="91">
        <f t="shared" si="55"/>
        <v>0.15676999999999999</v>
      </c>
    </row>
    <row r="76" spans="1:17" ht="14" x14ac:dyDescent="0.3">
      <c r="A76" s="31"/>
      <c r="B76" s="31"/>
      <c r="I76" s="44"/>
      <c r="J76" s="44"/>
    </row>
    <row r="77" spans="1:17" ht="14" x14ac:dyDescent="0.3">
      <c r="A77" s="31"/>
      <c r="B77" s="31"/>
      <c r="I77" s="44"/>
      <c r="J77" s="44"/>
    </row>
    <row r="78" spans="1:17" ht="14" x14ac:dyDescent="0.3">
      <c r="A78" s="31"/>
      <c r="B78" s="31"/>
      <c r="I78" s="44"/>
      <c r="J78" s="44"/>
    </row>
    <row r="79" spans="1:17" ht="14" x14ac:dyDescent="0.3">
      <c r="A79" s="31"/>
      <c r="B79" s="31"/>
      <c r="I79" s="44"/>
      <c r="J79" s="44"/>
    </row>
    <row r="80" spans="1:17" ht="14" x14ac:dyDescent="0.3">
      <c r="A80" s="31"/>
      <c r="B80" s="31"/>
      <c r="I80" s="44"/>
      <c r="J80" s="44"/>
    </row>
    <row r="81" spans="1:10" ht="14" x14ac:dyDescent="0.3">
      <c r="A81" s="31"/>
      <c r="B81" s="31"/>
      <c r="I81" s="44"/>
      <c r="J81" s="44"/>
    </row>
    <row r="82" spans="1:10" ht="14" x14ac:dyDescent="0.3">
      <c r="A82" s="31"/>
      <c r="B82" s="31"/>
      <c r="I82" s="44"/>
      <c r="J82" s="44"/>
    </row>
    <row r="83" spans="1:10" ht="14" x14ac:dyDescent="0.3">
      <c r="A83" s="31"/>
      <c r="B83" s="31"/>
      <c r="I83" s="44"/>
      <c r="J83" s="44"/>
    </row>
    <row r="84" spans="1:10" ht="14" x14ac:dyDescent="0.3">
      <c r="A84" s="31"/>
      <c r="B84" s="31"/>
      <c r="I84" s="44"/>
      <c r="J84" s="44"/>
    </row>
    <row r="85" spans="1:10" ht="14" x14ac:dyDescent="0.3">
      <c r="A85" s="31"/>
      <c r="B85" s="31"/>
      <c r="I85" s="44"/>
      <c r="J85" s="44"/>
    </row>
    <row r="86" spans="1:10" ht="14" x14ac:dyDescent="0.3">
      <c r="A86" s="31"/>
      <c r="B86" s="31"/>
      <c r="I86" s="44"/>
      <c r="J86" s="44"/>
    </row>
    <row r="87" spans="1:10" ht="14" x14ac:dyDescent="0.3">
      <c r="A87" s="31"/>
      <c r="B87" s="31"/>
      <c r="I87" s="44"/>
      <c r="J87" s="44"/>
    </row>
    <row r="88" spans="1:10" ht="14" x14ac:dyDescent="0.3">
      <c r="A88" s="31"/>
      <c r="B88" s="31"/>
      <c r="I88" s="44"/>
      <c r="J88" s="44"/>
    </row>
    <row r="89" spans="1:10" ht="14" x14ac:dyDescent="0.3">
      <c r="A89" s="31"/>
      <c r="B89" s="31"/>
      <c r="I89" s="44"/>
      <c r="J89" s="44"/>
    </row>
    <row r="90" spans="1:10" ht="14" x14ac:dyDescent="0.3">
      <c r="A90" s="31"/>
      <c r="B90" s="31"/>
      <c r="I90" s="44"/>
      <c r="J90" s="44"/>
    </row>
    <row r="91" spans="1:10" ht="14" x14ac:dyDescent="0.3">
      <c r="A91" s="31"/>
      <c r="B91" s="31"/>
      <c r="I91" s="44"/>
      <c r="J91" s="44"/>
    </row>
    <row r="92" spans="1:10" ht="14" x14ac:dyDescent="0.3">
      <c r="A92" s="31"/>
      <c r="B92" s="31"/>
      <c r="I92" s="44"/>
      <c r="J92" s="44"/>
    </row>
    <row r="93" spans="1:10" ht="14" x14ac:dyDescent="0.3">
      <c r="A93" s="31"/>
      <c r="B93" s="31"/>
      <c r="I93" s="44"/>
      <c r="J93" s="44"/>
    </row>
    <row r="94" spans="1:10" ht="14" x14ac:dyDescent="0.3">
      <c r="A94" s="31"/>
      <c r="B94" s="31"/>
      <c r="I94" s="44"/>
      <c r="J94" s="44"/>
    </row>
    <row r="95" spans="1:10" ht="14" x14ac:dyDescent="0.3">
      <c r="A95" s="31"/>
      <c r="B95" s="31"/>
      <c r="I95" s="44"/>
      <c r="J95" s="44"/>
    </row>
    <row r="96" spans="1:10" ht="14" x14ac:dyDescent="0.3">
      <c r="A96" s="31"/>
      <c r="B96" s="31"/>
      <c r="I96" s="44"/>
      <c r="J96" s="44"/>
    </row>
    <row r="97" spans="1:23" ht="14" x14ac:dyDescent="0.3">
      <c r="A97" s="31"/>
      <c r="B97" s="31"/>
      <c r="I97" s="44"/>
      <c r="J97" s="44"/>
    </row>
    <row r="98" spans="1:23" ht="14" x14ac:dyDescent="0.3">
      <c r="A98" s="31"/>
      <c r="B98" s="31"/>
      <c r="I98" s="44"/>
      <c r="J98" s="44"/>
    </row>
    <row r="99" spans="1:23" ht="14" x14ac:dyDescent="0.3">
      <c r="A99" s="31"/>
      <c r="B99" s="31"/>
      <c r="I99" s="44"/>
      <c r="J99" s="44"/>
    </row>
    <row r="100" spans="1:23" ht="14" x14ac:dyDescent="0.3">
      <c r="A100" s="31"/>
      <c r="B100" s="31"/>
      <c r="I100" s="44"/>
      <c r="J100" s="44"/>
    </row>
    <row r="101" spans="1:23" ht="14" x14ac:dyDescent="0.3">
      <c r="A101" s="31"/>
      <c r="B101" s="31"/>
      <c r="I101" s="44"/>
      <c r="J101" s="44"/>
    </row>
    <row r="102" spans="1:23" ht="14" x14ac:dyDescent="0.3">
      <c r="A102" s="31"/>
      <c r="B102" s="31"/>
      <c r="I102" s="44"/>
      <c r="J102" s="44"/>
    </row>
    <row r="103" spans="1:23" ht="14" x14ac:dyDescent="0.3">
      <c r="A103" s="31"/>
      <c r="B103" s="31"/>
      <c r="I103" s="44"/>
      <c r="J103" s="44"/>
    </row>
    <row r="104" spans="1:23" ht="14" x14ac:dyDescent="0.3">
      <c r="A104" s="31"/>
      <c r="B104" s="31"/>
      <c r="C104" s="95"/>
      <c r="I104" s="44"/>
      <c r="J104" s="44"/>
    </row>
    <row r="105" spans="1:23" ht="14" x14ac:dyDescent="0.3">
      <c r="A105" s="31"/>
      <c r="B105" s="31"/>
      <c r="C105" s="163"/>
      <c r="D105" s="163"/>
      <c r="E105" s="146"/>
      <c r="F105" s="146"/>
      <c r="G105" s="146"/>
      <c r="H105" s="147"/>
      <c r="I105" s="146"/>
      <c r="J105" s="146"/>
      <c r="K105" s="146"/>
      <c r="L105" s="147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8"/>
    </row>
    <row r="106" spans="1:23" ht="14" x14ac:dyDescent="0.3">
      <c r="A106" s="31"/>
      <c r="B106" s="31"/>
      <c r="I106" s="44"/>
      <c r="J106" s="44"/>
    </row>
    <row r="107" spans="1:23" ht="14" x14ac:dyDescent="0.3">
      <c r="A107" s="31"/>
      <c r="B107" s="31"/>
      <c r="C107" s="163"/>
      <c r="D107" s="163"/>
      <c r="E107" s="146"/>
      <c r="F107" s="146"/>
      <c r="G107" s="146"/>
      <c r="H107" s="147"/>
      <c r="I107" s="146"/>
      <c r="J107" s="146"/>
      <c r="K107" s="146"/>
      <c r="L107" s="147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8"/>
    </row>
    <row r="108" spans="1:23" ht="14" x14ac:dyDescent="0.3">
      <c r="A108" s="31"/>
      <c r="B108" s="31"/>
      <c r="I108" s="44"/>
      <c r="J108" s="44"/>
    </row>
    <row r="109" spans="1:23" ht="14" x14ac:dyDescent="0.3">
      <c r="A109" s="31"/>
      <c r="B109" s="31"/>
      <c r="I109" s="44"/>
      <c r="J109" s="44"/>
    </row>
    <row r="110" spans="1:23" ht="14" x14ac:dyDescent="0.3">
      <c r="A110" s="31"/>
      <c r="B110" s="31"/>
      <c r="I110" s="44"/>
      <c r="J110" s="44"/>
    </row>
    <row r="111" spans="1:23" ht="14" x14ac:dyDescent="0.3">
      <c r="A111" s="31"/>
      <c r="B111" s="31"/>
      <c r="I111" s="44"/>
      <c r="J111" s="44"/>
    </row>
    <row r="112" spans="1:23" ht="14" x14ac:dyDescent="0.3">
      <c r="A112" s="31"/>
      <c r="B112" s="31"/>
      <c r="I112" s="44"/>
      <c r="J112" s="44"/>
    </row>
    <row r="113" spans="1:10" ht="14" x14ac:dyDescent="0.3">
      <c r="A113" s="31"/>
      <c r="B113" s="31"/>
      <c r="I113" s="44"/>
      <c r="J113" s="44"/>
    </row>
    <row r="114" spans="1:10" ht="14" x14ac:dyDescent="0.3">
      <c r="A114" s="31"/>
      <c r="B114" s="31"/>
      <c r="I114" s="44"/>
      <c r="J114" s="44"/>
    </row>
    <row r="115" spans="1:10" ht="14" x14ac:dyDescent="0.3">
      <c r="A115" s="31"/>
      <c r="B115" s="31"/>
      <c r="I115" s="44"/>
      <c r="J115" s="44"/>
    </row>
    <row r="116" spans="1:10" ht="14" x14ac:dyDescent="0.3">
      <c r="A116" s="31"/>
      <c r="B116" s="31"/>
      <c r="I116" s="44"/>
      <c r="J116" s="44"/>
    </row>
    <row r="117" spans="1:10" ht="14" x14ac:dyDescent="0.3">
      <c r="A117" s="31"/>
      <c r="B117" s="31"/>
      <c r="I117" s="44"/>
      <c r="J117" s="44"/>
    </row>
    <row r="118" spans="1:10" ht="14" x14ac:dyDescent="0.3">
      <c r="A118" s="31"/>
      <c r="B118" s="31"/>
      <c r="I118" s="44"/>
      <c r="J118" s="44"/>
    </row>
    <row r="119" spans="1:10" ht="14" x14ac:dyDescent="0.3">
      <c r="A119" s="31"/>
      <c r="B119" s="31"/>
      <c r="I119" s="44"/>
      <c r="J119" s="44"/>
    </row>
    <row r="120" spans="1:10" ht="14" x14ac:dyDescent="0.3">
      <c r="A120" s="31"/>
      <c r="B120" s="31"/>
      <c r="I120" s="44"/>
      <c r="J120" s="44"/>
    </row>
    <row r="121" spans="1:10" ht="14" x14ac:dyDescent="0.3">
      <c r="A121" s="31"/>
      <c r="B121" s="31"/>
      <c r="I121" s="44"/>
      <c r="J121" s="44"/>
    </row>
    <row r="122" spans="1:10" ht="14" x14ac:dyDescent="0.3">
      <c r="A122" s="31"/>
      <c r="B122" s="31"/>
      <c r="I122" s="44"/>
      <c r="J122" s="44"/>
    </row>
    <row r="123" spans="1:10" ht="14" x14ac:dyDescent="0.3">
      <c r="A123" s="31"/>
      <c r="B123" s="31"/>
      <c r="I123" s="44"/>
      <c r="J123" s="44"/>
    </row>
    <row r="124" spans="1:10" ht="14" x14ac:dyDescent="0.3">
      <c r="A124" s="31"/>
      <c r="B124" s="31"/>
      <c r="I124" s="44"/>
      <c r="J124" s="44"/>
    </row>
    <row r="125" spans="1:10" ht="14" x14ac:dyDescent="0.3">
      <c r="A125" s="31"/>
      <c r="B125" s="31"/>
      <c r="I125" s="44"/>
      <c r="J125" s="44"/>
    </row>
    <row r="126" spans="1:10" ht="14" x14ac:dyDescent="0.3">
      <c r="A126" s="31"/>
      <c r="B126" s="31"/>
      <c r="I126" s="44"/>
      <c r="J126" s="44"/>
    </row>
    <row r="127" spans="1:10" ht="14" x14ac:dyDescent="0.3">
      <c r="A127" s="31"/>
      <c r="B127" s="31"/>
      <c r="I127" s="44"/>
      <c r="J127" s="44"/>
    </row>
    <row r="128" spans="1:10" ht="14" x14ac:dyDescent="0.3">
      <c r="A128" s="31"/>
      <c r="B128" s="31"/>
      <c r="I128" s="44"/>
      <c r="J128" s="44"/>
    </row>
    <row r="129" spans="1:10" ht="14" x14ac:dyDescent="0.3">
      <c r="A129" s="31"/>
      <c r="B129" s="31"/>
      <c r="I129" s="44"/>
      <c r="J129" s="44"/>
    </row>
    <row r="130" spans="1:10" ht="14" x14ac:dyDescent="0.3">
      <c r="A130" s="31"/>
      <c r="B130" s="31"/>
      <c r="I130" s="44"/>
      <c r="J130" s="44"/>
    </row>
    <row r="131" spans="1:10" ht="14" x14ac:dyDescent="0.3">
      <c r="A131" s="31"/>
      <c r="B131" s="31"/>
      <c r="I131" s="44"/>
      <c r="J131" s="44"/>
    </row>
    <row r="132" spans="1:10" ht="14" x14ac:dyDescent="0.3">
      <c r="A132" s="31"/>
      <c r="B132" s="31"/>
      <c r="I132" s="44"/>
      <c r="J132" s="44"/>
    </row>
    <row r="133" spans="1:10" ht="14" x14ac:dyDescent="0.3">
      <c r="A133" s="31"/>
      <c r="B133" s="31"/>
      <c r="I133" s="44"/>
      <c r="J133" s="44"/>
    </row>
    <row r="134" spans="1:10" ht="14" x14ac:dyDescent="0.3">
      <c r="A134" s="31"/>
      <c r="B134" s="31"/>
      <c r="I134" s="44"/>
      <c r="J134" s="44"/>
    </row>
    <row r="135" spans="1:10" ht="14" x14ac:dyDescent="0.3">
      <c r="A135" s="31"/>
      <c r="B135" s="31"/>
      <c r="I135" s="44"/>
      <c r="J135" s="44"/>
    </row>
    <row r="136" spans="1:10" ht="14" x14ac:dyDescent="0.3">
      <c r="A136" s="31"/>
      <c r="B136" s="31"/>
      <c r="I136" s="44"/>
      <c r="J136" s="44"/>
    </row>
    <row r="137" spans="1:10" ht="14" x14ac:dyDescent="0.3">
      <c r="A137" s="31"/>
      <c r="B137" s="31"/>
      <c r="I137" s="44"/>
      <c r="J137" s="44"/>
    </row>
    <row r="138" spans="1:10" ht="14" x14ac:dyDescent="0.3">
      <c r="A138" s="31"/>
      <c r="B138" s="31"/>
      <c r="I138" s="44"/>
      <c r="J138" s="44"/>
    </row>
    <row r="139" spans="1:10" ht="14" x14ac:dyDescent="0.3">
      <c r="A139" s="31"/>
      <c r="B139" s="31"/>
      <c r="I139" s="44"/>
      <c r="J139" s="44"/>
    </row>
    <row r="140" spans="1:10" ht="14" x14ac:dyDescent="0.3">
      <c r="A140" s="31"/>
      <c r="B140" s="31"/>
      <c r="I140" s="44"/>
      <c r="J140" s="44"/>
    </row>
    <row r="141" spans="1:10" ht="14" x14ac:dyDescent="0.3">
      <c r="A141" s="31"/>
      <c r="B141" s="31"/>
    </row>
    <row r="142" spans="1:10" ht="14" x14ac:dyDescent="0.3">
      <c r="A142" s="31"/>
      <c r="B142" s="31"/>
    </row>
    <row r="143" spans="1:10" ht="14" x14ac:dyDescent="0.3">
      <c r="A143" s="31"/>
      <c r="B143" s="31"/>
    </row>
    <row r="144" spans="1:10" ht="14" x14ac:dyDescent="0.3">
      <c r="A144" s="31"/>
      <c r="B144" s="31"/>
    </row>
    <row r="145" spans="1:2" ht="14" x14ac:dyDescent="0.3">
      <c r="A145" s="31"/>
      <c r="B145" s="31"/>
    </row>
    <row r="146" spans="1:2" ht="14" x14ac:dyDescent="0.3">
      <c r="A146" s="31"/>
      <c r="B146" s="31"/>
    </row>
    <row r="147" spans="1:2" ht="14" x14ac:dyDescent="0.3">
      <c r="A147" s="31"/>
      <c r="B147" s="31"/>
    </row>
    <row r="148" spans="1:2" ht="14" x14ac:dyDescent="0.3">
      <c r="A148" s="31"/>
      <c r="B148" s="31"/>
    </row>
    <row r="149" spans="1:2" ht="14" x14ac:dyDescent="0.3">
      <c r="A149" s="31"/>
      <c r="B149" s="31"/>
    </row>
    <row r="150" spans="1:2" ht="14" x14ac:dyDescent="0.3">
      <c r="A150" s="31"/>
      <c r="B150" s="31"/>
    </row>
    <row r="151" spans="1:2" ht="14" x14ac:dyDescent="0.3">
      <c r="A151" s="31"/>
      <c r="B151" s="31"/>
    </row>
    <row r="152" spans="1:2" ht="14" x14ac:dyDescent="0.3">
      <c r="A152" s="31"/>
      <c r="B152" s="31"/>
    </row>
    <row r="153" spans="1:2" ht="14" x14ac:dyDescent="0.3">
      <c r="A153" s="31"/>
      <c r="B153" s="31"/>
    </row>
    <row r="154" spans="1:2" ht="14" x14ac:dyDescent="0.3">
      <c r="A154" s="31"/>
      <c r="B154" s="31"/>
    </row>
    <row r="155" spans="1:2" ht="14" x14ac:dyDescent="0.3">
      <c r="A155" s="31"/>
      <c r="B155" s="31"/>
    </row>
    <row r="156" spans="1:2" ht="14" x14ac:dyDescent="0.3">
      <c r="A156" s="31"/>
      <c r="B156" s="31"/>
    </row>
    <row r="157" spans="1:2" ht="14" x14ac:dyDescent="0.3">
      <c r="A157" s="31"/>
      <c r="B157" s="31"/>
    </row>
    <row r="158" spans="1:2" ht="14" x14ac:dyDescent="0.3">
      <c r="A158" s="31"/>
      <c r="B158" s="31"/>
    </row>
    <row r="159" spans="1:2" ht="14" x14ac:dyDescent="0.3">
      <c r="A159" s="31"/>
      <c r="B159" s="31"/>
    </row>
    <row r="160" spans="1:2" ht="14" x14ac:dyDescent="0.3">
      <c r="A160" s="31"/>
      <c r="B160" s="31"/>
    </row>
    <row r="161" spans="1:2" ht="14" x14ac:dyDescent="0.3">
      <c r="A161" s="31"/>
      <c r="B161" s="31"/>
    </row>
    <row r="162" spans="1:2" ht="14" x14ac:dyDescent="0.3">
      <c r="A162" s="31"/>
      <c r="B162" s="31"/>
    </row>
    <row r="163" spans="1:2" ht="14" x14ac:dyDescent="0.3">
      <c r="A163" s="31"/>
      <c r="B163" s="31"/>
    </row>
    <row r="164" spans="1:2" ht="14" x14ac:dyDescent="0.3">
      <c r="A164" s="31"/>
      <c r="B164" s="31"/>
    </row>
    <row r="165" spans="1:2" ht="14" x14ac:dyDescent="0.3">
      <c r="A165" s="31"/>
      <c r="B165" s="31"/>
    </row>
  </sheetData>
  <mergeCells count="7">
    <mergeCell ref="AA11:AB11"/>
    <mergeCell ref="E11:G11"/>
    <mergeCell ref="I11:K11"/>
    <mergeCell ref="M11:N11"/>
    <mergeCell ref="P11:R11"/>
    <mergeCell ref="T11:U11"/>
    <mergeCell ref="W11:Y11"/>
  </mergeCells>
  <pageMargins left="0.7" right="0.7" top="0.75" bottom="0.75" header="0.3" footer="0.3"/>
  <pageSetup scale="35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493C1-0AA7-4736-9950-12418BF50BDE}">
  <sheetPr>
    <tabColor theme="3" tint="0.59999389629810485"/>
    <pageSetUpPr fitToPage="1"/>
  </sheetPr>
  <dimension ref="A1:AB134"/>
  <sheetViews>
    <sheetView zoomScaleNormal="100" workbookViewId="0"/>
  </sheetViews>
  <sheetFormatPr defaultColWidth="8.7265625" defaultRowHeight="13" x14ac:dyDescent="0.3"/>
  <cols>
    <col min="1" max="1" width="4" style="68" customWidth="1"/>
    <col min="2" max="2" width="4.453125" style="68" bestFit="1" customWidth="1"/>
    <col min="3" max="6" width="12" style="68" customWidth="1"/>
    <col min="7" max="7" width="1.7265625" style="68" customWidth="1"/>
    <col min="8" max="10" width="12" style="68" customWidth="1"/>
    <col min="11" max="11" width="1.7265625" style="68" customWidth="1"/>
    <col min="12" max="13" width="12" style="68" customWidth="1"/>
    <col min="14" max="14" width="2" style="68" customWidth="1"/>
    <col min="15" max="17" width="12" style="68" customWidth="1"/>
    <col min="18" max="18" width="2" style="68" customWidth="1"/>
    <col min="19" max="20" width="12" style="68" customWidth="1"/>
    <col min="21" max="21" width="1.453125" style="68" customWidth="1"/>
    <col min="22" max="24" width="12" style="68" customWidth="1"/>
    <col min="25" max="25" width="2" style="68" customWidth="1"/>
    <col min="26" max="27" width="12" style="68" customWidth="1"/>
    <col min="28" max="28" width="8.453125" style="68" bestFit="1" customWidth="1"/>
    <col min="29" max="16384" width="8.7265625" style="68"/>
  </cols>
  <sheetData>
    <row r="1" spans="1:28" x14ac:dyDescent="0.3">
      <c r="A1" s="67">
        <v>1</v>
      </c>
    </row>
    <row r="2" spans="1:28" x14ac:dyDescent="0.3">
      <c r="A2" s="67">
        <f>A1+1</f>
        <v>2</v>
      </c>
    </row>
    <row r="3" spans="1:28" ht="14" x14ac:dyDescent="0.3">
      <c r="A3" s="67">
        <f t="shared" ref="A3:A55" si="0">A2+1</f>
        <v>3</v>
      </c>
      <c r="B3" s="24" t="s">
        <v>40</v>
      </c>
    </row>
    <row r="4" spans="1:28" ht="14" x14ac:dyDescent="0.3">
      <c r="A4" s="67">
        <f t="shared" si="0"/>
        <v>4</v>
      </c>
      <c r="B4" s="24" t="s">
        <v>41</v>
      </c>
      <c r="C4" s="44"/>
      <c r="D4" s="149"/>
      <c r="E4" s="44"/>
      <c r="F4" s="132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8" ht="14" x14ac:dyDescent="0.3">
      <c r="A5" s="67">
        <f t="shared" si="0"/>
        <v>5</v>
      </c>
      <c r="B5" s="24"/>
      <c r="C5" s="44"/>
      <c r="D5" s="149"/>
      <c r="E5" s="44"/>
      <c r="F5" s="132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8" ht="14" x14ac:dyDescent="0.3">
      <c r="A6" s="67">
        <f t="shared" si="0"/>
        <v>6</v>
      </c>
      <c r="B6" s="24" t="s">
        <v>135</v>
      </c>
      <c r="C6" s="44"/>
      <c r="D6" s="149"/>
      <c r="E6" s="44"/>
      <c r="F6" s="13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8" ht="14" x14ac:dyDescent="0.3">
      <c r="A7" s="67">
        <f t="shared" si="0"/>
        <v>7</v>
      </c>
      <c r="B7" s="24" t="s">
        <v>150</v>
      </c>
      <c r="C7" s="44"/>
      <c r="D7" s="149"/>
      <c r="E7" s="44"/>
      <c r="F7" s="132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8" ht="14" x14ac:dyDescent="0.3">
      <c r="A8" s="67">
        <f t="shared" si="0"/>
        <v>8</v>
      </c>
      <c r="B8" s="167"/>
      <c r="C8" s="44"/>
      <c r="D8" s="149"/>
      <c r="E8" s="44"/>
      <c r="F8" s="132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8" ht="14" x14ac:dyDescent="0.3">
      <c r="A9" s="67">
        <f t="shared" si="0"/>
        <v>9</v>
      </c>
      <c r="B9" s="44"/>
      <c r="C9" s="44"/>
      <c r="D9" s="44"/>
      <c r="E9" s="44"/>
      <c r="F9" s="131"/>
      <c r="G9" s="44"/>
    </row>
    <row r="10" spans="1:28" ht="14" x14ac:dyDescent="0.3">
      <c r="A10" s="67">
        <f t="shared" si="0"/>
        <v>10</v>
      </c>
      <c r="B10" s="44"/>
      <c r="C10" s="44"/>
      <c r="D10" s="44"/>
      <c r="E10" s="44"/>
      <c r="F10" s="132"/>
      <c r="G10" s="44"/>
    </row>
    <row r="11" spans="1:28" ht="14" x14ac:dyDescent="0.3">
      <c r="A11" s="67">
        <f t="shared" si="0"/>
        <v>11</v>
      </c>
      <c r="B11" s="31"/>
      <c r="C11" s="104" t="s">
        <v>2</v>
      </c>
      <c r="D11" s="32" t="str">
        <f>'EMA R1'!D10</f>
        <v>2024 Monthly Bill</v>
      </c>
      <c r="E11" s="32"/>
      <c r="F11" s="32"/>
      <c r="G11" s="133"/>
      <c r="H11" s="32" t="str">
        <f>'EMA R1'!H10</f>
        <v>2025 Illustrative Monthly Bill</v>
      </c>
      <c r="I11" s="32"/>
      <c r="J11" s="32"/>
      <c r="K11" s="23"/>
      <c r="L11" s="32" t="str">
        <f>'EMA R1'!L10</f>
        <v>2025 vs. 2024</v>
      </c>
      <c r="M11" s="32"/>
      <c r="N11" s="27"/>
      <c r="O11" s="32" t="str">
        <f>'EMA R1'!O10</f>
        <v>2026 Illustrative Monthly Bill</v>
      </c>
      <c r="P11" s="32"/>
      <c r="Q11" s="32"/>
      <c r="R11" s="133"/>
      <c r="S11" s="32" t="str">
        <f>'EMA R1'!S10</f>
        <v>2026 vs. 2025</v>
      </c>
      <c r="T11" s="32"/>
      <c r="U11" s="23"/>
      <c r="V11" s="32" t="str">
        <f>'EMA R1'!V10</f>
        <v>2027 Illustrative Monthly Bill</v>
      </c>
      <c r="W11" s="32"/>
      <c r="X11" s="32"/>
      <c r="Y11" s="133"/>
      <c r="Z11" s="32" t="str">
        <f>'EMA R1'!Z10</f>
        <v>2027 vs. 2026</v>
      </c>
      <c r="AA11" s="32"/>
      <c r="AB11" s="44"/>
    </row>
    <row r="12" spans="1:28" ht="14" x14ac:dyDescent="0.3">
      <c r="A12" s="67">
        <f t="shared" si="0"/>
        <v>12</v>
      </c>
      <c r="B12" s="31"/>
      <c r="C12" s="134" t="s">
        <v>47</v>
      </c>
      <c r="D12" s="34" t="s">
        <v>48</v>
      </c>
      <c r="E12" s="34" t="s">
        <v>49</v>
      </c>
      <c r="F12" s="34" t="s">
        <v>50</v>
      </c>
      <c r="G12" s="34"/>
      <c r="H12" s="34" t="s">
        <v>48</v>
      </c>
      <c r="I12" s="34" t="s">
        <v>49</v>
      </c>
      <c r="J12" s="34" t="s">
        <v>50</v>
      </c>
      <c r="K12" s="23"/>
      <c r="L12" s="34" t="s">
        <v>51</v>
      </c>
      <c r="M12" s="34" t="s">
        <v>14</v>
      </c>
      <c r="N12" s="34"/>
      <c r="O12" s="34" t="s">
        <v>48</v>
      </c>
      <c r="P12" s="34" t="s">
        <v>49</v>
      </c>
      <c r="Q12" s="34" t="s">
        <v>50</v>
      </c>
      <c r="R12" s="34"/>
      <c r="S12" s="34" t="s">
        <v>51</v>
      </c>
      <c r="T12" s="34" t="s">
        <v>14</v>
      </c>
      <c r="U12" s="23"/>
      <c r="V12" s="34" t="s">
        <v>48</v>
      </c>
      <c r="W12" s="34" t="s">
        <v>49</v>
      </c>
      <c r="X12" s="34" t="s">
        <v>50</v>
      </c>
      <c r="Y12" s="34"/>
      <c r="Z12" s="34" t="s">
        <v>51</v>
      </c>
      <c r="AA12" s="34" t="s">
        <v>14</v>
      </c>
      <c r="AB12" s="44"/>
    </row>
    <row r="13" spans="1:28" ht="14" x14ac:dyDescent="0.3">
      <c r="A13" s="67">
        <f t="shared" si="0"/>
        <v>13</v>
      </c>
      <c r="B13" s="31"/>
      <c r="C13" s="105">
        <v>100</v>
      </c>
      <c r="D13" s="135">
        <f>ROUND($H$58*$C13+$H$57,2)</f>
        <v>24.18</v>
      </c>
      <c r="E13" s="135">
        <f t="shared" ref="E13:E23" si="1">ROUND($H$59*$C13,2)</f>
        <v>15.68</v>
      </c>
      <c r="F13" s="135">
        <f t="shared" ref="F13:F23" si="2">SUM(D13:E13)</f>
        <v>39.86</v>
      </c>
      <c r="G13" s="136"/>
      <c r="H13" s="135">
        <f>ROUND($I$58*$C13+$I$57,2)</f>
        <v>26.03</v>
      </c>
      <c r="I13" s="135">
        <f t="shared" ref="I13:I23" si="3">ROUND($I$59*$C13,2)</f>
        <v>15.68</v>
      </c>
      <c r="J13" s="135">
        <f t="shared" ref="J13:J23" si="4">SUM(H13:I13)</f>
        <v>41.71</v>
      </c>
      <c r="K13" s="136"/>
      <c r="L13" s="135">
        <f t="shared" ref="L13:L23" si="5">+J13-F13</f>
        <v>1.8500000000000014</v>
      </c>
      <c r="M13" s="137">
        <f t="shared" ref="M13:M23" si="6">+L13/F13</f>
        <v>4.6412443552433555E-2</v>
      </c>
      <c r="N13" s="137"/>
      <c r="O13" s="135">
        <f>ROUND($J$58*$C13+$J$57,2)</f>
        <v>26.32</v>
      </c>
      <c r="P13" s="135">
        <f>ROUND($J$59*$C13,2)</f>
        <v>15.68</v>
      </c>
      <c r="Q13" s="135">
        <f t="shared" ref="Q13:Q23" si="7">SUM(O13:P13)</f>
        <v>42</v>
      </c>
      <c r="R13" s="136"/>
      <c r="S13" s="135">
        <f>+Q13-J13</f>
        <v>0.28999999999999915</v>
      </c>
      <c r="T13" s="137">
        <f>+S13/J13</f>
        <v>6.9527691201150595E-3</v>
      </c>
      <c r="U13" s="137"/>
      <c r="V13" s="135">
        <f>ROUND($L$58*$C13+$L$57,2)</f>
        <v>26.3</v>
      </c>
      <c r="W13" s="135">
        <f t="shared" ref="W13:W23" si="8">ROUND($L$59*$C13,2)</f>
        <v>15.68</v>
      </c>
      <c r="X13" s="135">
        <f t="shared" ref="X13:X23" si="9">SUM(V13:W13)</f>
        <v>41.980000000000004</v>
      </c>
      <c r="Y13" s="136"/>
      <c r="Z13" s="135">
        <f>+X13-Q13</f>
        <v>-1.9999999999996021E-2</v>
      </c>
      <c r="AA13" s="137">
        <f>+Z13/Q13</f>
        <v>-4.7619047619038143E-4</v>
      </c>
      <c r="AB13" s="136"/>
    </row>
    <row r="14" spans="1:28" ht="14" x14ac:dyDescent="0.3">
      <c r="A14" s="67">
        <f t="shared" si="0"/>
        <v>14</v>
      </c>
      <c r="B14" s="31"/>
      <c r="C14" s="105">
        <v>500</v>
      </c>
      <c r="D14" s="135">
        <f t="shared" ref="D14:D23" si="10">ROUND($H$58*$C14+$H$57,2)</f>
        <v>60.89</v>
      </c>
      <c r="E14" s="135">
        <f t="shared" si="1"/>
        <v>78.39</v>
      </c>
      <c r="F14" s="135">
        <f t="shared" si="2"/>
        <v>139.28</v>
      </c>
      <c r="G14" s="136"/>
      <c r="H14" s="135">
        <f t="shared" ref="H14:H23" si="11">ROUND($I$58*$C14+$I$57,2)</f>
        <v>70.150000000000006</v>
      </c>
      <c r="I14" s="135">
        <f t="shared" si="3"/>
        <v>78.39</v>
      </c>
      <c r="J14" s="135">
        <f t="shared" si="4"/>
        <v>148.54000000000002</v>
      </c>
      <c r="K14" s="136"/>
      <c r="L14" s="135">
        <f t="shared" si="5"/>
        <v>9.2600000000000193</v>
      </c>
      <c r="M14" s="137">
        <f t="shared" si="6"/>
        <v>6.6484778862722707E-2</v>
      </c>
      <c r="N14" s="137"/>
      <c r="O14" s="135">
        <f t="shared" ref="O14:O23" si="12">ROUND($J$58*$C14+$J$57,2)</f>
        <v>71.62</v>
      </c>
      <c r="P14" s="135">
        <f t="shared" ref="P14:P23" si="13">ROUND($J$59*$C14,2)</f>
        <v>78.39</v>
      </c>
      <c r="Q14" s="135">
        <f t="shared" si="7"/>
        <v>150.01</v>
      </c>
      <c r="R14" s="136"/>
      <c r="S14" s="135">
        <f t="shared" ref="S14:S23" si="14">+Q14-J14</f>
        <v>1.4699999999999704</v>
      </c>
      <c r="T14" s="137">
        <f t="shared" ref="T14:T23" si="15">+S14/J14</f>
        <v>9.8963242224314671E-3</v>
      </c>
      <c r="U14" s="137"/>
      <c r="V14" s="135">
        <f t="shared" ref="V14:V23" si="16">ROUND($L$58*$C14+$L$57,2)</f>
        <v>71.52</v>
      </c>
      <c r="W14" s="135">
        <f t="shared" si="8"/>
        <v>78.39</v>
      </c>
      <c r="X14" s="135">
        <f t="shared" si="9"/>
        <v>149.91</v>
      </c>
      <c r="Y14" s="136"/>
      <c r="Z14" s="135">
        <f t="shared" ref="Z14:Z23" si="17">+X14-Q14</f>
        <v>-9.9999999999994316E-2</v>
      </c>
      <c r="AA14" s="137">
        <f t="shared" ref="AA14:AA23" si="18">+Z14/Q14</f>
        <v>-6.6662222518494986E-4</v>
      </c>
      <c r="AB14" s="136"/>
    </row>
    <row r="15" spans="1:28" ht="14" x14ac:dyDescent="0.3">
      <c r="A15" s="67">
        <f t="shared" si="0"/>
        <v>15</v>
      </c>
      <c r="B15" s="31"/>
      <c r="C15" s="105">
        <v>1000</v>
      </c>
      <c r="D15" s="135">
        <f t="shared" si="10"/>
        <v>106.78</v>
      </c>
      <c r="E15" s="135">
        <f t="shared" si="1"/>
        <v>156.77000000000001</v>
      </c>
      <c r="F15" s="135">
        <f t="shared" si="2"/>
        <v>263.55</v>
      </c>
      <c r="G15" s="136"/>
      <c r="H15" s="135">
        <f t="shared" si="11"/>
        <v>125.29</v>
      </c>
      <c r="I15" s="135">
        <f t="shared" si="3"/>
        <v>156.77000000000001</v>
      </c>
      <c r="J15" s="135">
        <f t="shared" si="4"/>
        <v>282.06</v>
      </c>
      <c r="K15" s="136"/>
      <c r="L15" s="135">
        <f t="shared" si="5"/>
        <v>18.509999999999991</v>
      </c>
      <c r="M15" s="137">
        <f t="shared" si="6"/>
        <v>7.0233352305065416E-2</v>
      </c>
      <c r="N15" s="137"/>
      <c r="O15" s="135">
        <f t="shared" si="12"/>
        <v>128.24</v>
      </c>
      <c r="P15" s="135">
        <f t="shared" si="13"/>
        <v>156.77000000000001</v>
      </c>
      <c r="Q15" s="135">
        <f t="shared" si="7"/>
        <v>285.01</v>
      </c>
      <c r="R15" s="136"/>
      <c r="S15" s="135">
        <f t="shared" si="14"/>
        <v>2.9499999999999886</v>
      </c>
      <c r="T15" s="137">
        <f t="shared" si="15"/>
        <v>1.0458767638091147E-2</v>
      </c>
      <c r="U15" s="137"/>
      <c r="V15" s="135">
        <f>ROUND($L$58*$C15+$L$57,2)</f>
        <v>128.04</v>
      </c>
      <c r="W15" s="135">
        <f t="shared" si="8"/>
        <v>156.77000000000001</v>
      </c>
      <c r="X15" s="135">
        <f t="shared" si="9"/>
        <v>284.81</v>
      </c>
      <c r="Y15" s="136"/>
      <c r="Z15" s="135">
        <f t="shared" si="17"/>
        <v>-0.19999999999998863</v>
      </c>
      <c r="AA15" s="137">
        <f t="shared" si="18"/>
        <v>-7.0172976386789461E-4</v>
      </c>
      <c r="AB15" s="136"/>
    </row>
    <row r="16" spans="1:28" ht="14" x14ac:dyDescent="0.3">
      <c r="A16" s="67">
        <f t="shared" si="0"/>
        <v>16</v>
      </c>
      <c r="B16" s="31"/>
      <c r="C16" s="105">
        <v>1500</v>
      </c>
      <c r="D16" s="135">
        <f t="shared" si="10"/>
        <v>152.66999999999999</v>
      </c>
      <c r="E16" s="135">
        <f t="shared" si="1"/>
        <v>235.16</v>
      </c>
      <c r="F16" s="135">
        <f t="shared" si="2"/>
        <v>387.83</v>
      </c>
      <c r="G16" s="136"/>
      <c r="H16" s="135">
        <f>ROUND($I$58*$C16+$I$57,2)</f>
        <v>180.44</v>
      </c>
      <c r="I16" s="135">
        <f t="shared" si="3"/>
        <v>235.16</v>
      </c>
      <c r="J16" s="135">
        <f t="shared" si="4"/>
        <v>415.6</v>
      </c>
      <c r="K16" s="136"/>
      <c r="L16" s="135">
        <f t="shared" si="5"/>
        <v>27.770000000000039</v>
      </c>
      <c r="M16" s="137">
        <f t="shared" si="6"/>
        <v>7.1603537632467934E-2</v>
      </c>
      <c r="N16" s="137"/>
      <c r="O16" s="135">
        <f>ROUND($J$58*$C16+$J$57,2)</f>
        <v>184.86</v>
      </c>
      <c r="P16" s="135">
        <f t="shared" si="13"/>
        <v>235.16</v>
      </c>
      <c r="Q16" s="135">
        <f t="shared" si="7"/>
        <v>420.02</v>
      </c>
      <c r="R16" s="136"/>
      <c r="S16" s="135">
        <f t="shared" si="14"/>
        <v>4.4199999999999591</v>
      </c>
      <c r="T16" s="137">
        <f t="shared" si="15"/>
        <v>1.0635226179018189E-2</v>
      </c>
      <c r="U16" s="137"/>
      <c r="V16" s="135">
        <f t="shared" si="16"/>
        <v>184.56</v>
      </c>
      <c r="W16" s="135">
        <f t="shared" si="8"/>
        <v>235.16</v>
      </c>
      <c r="X16" s="135">
        <f t="shared" si="9"/>
        <v>419.72</v>
      </c>
      <c r="Y16" s="136"/>
      <c r="Z16" s="135">
        <f t="shared" si="17"/>
        <v>-0.29999999999995453</v>
      </c>
      <c r="AA16" s="137">
        <f t="shared" si="18"/>
        <v>-7.142517022997823E-4</v>
      </c>
      <c r="AB16" s="136"/>
    </row>
    <row r="17" spans="1:28" ht="14" x14ac:dyDescent="0.3">
      <c r="A17" s="67">
        <f t="shared" si="0"/>
        <v>17</v>
      </c>
      <c r="B17" s="31"/>
      <c r="C17" s="105">
        <v>2000</v>
      </c>
      <c r="D17" s="135">
        <f>ROUND($H$58*$C17+$H$57,2)</f>
        <v>198.56</v>
      </c>
      <c r="E17" s="135">
        <f>ROUND($H$59*$C17,2)</f>
        <v>313.54000000000002</v>
      </c>
      <c r="F17" s="135">
        <f t="shared" si="2"/>
        <v>512.1</v>
      </c>
      <c r="G17" s="136"/>
      <c r="H17" s="135">
        <f t="shared" si="11"/>
        <v>235.58</v>
      </c>
      <c r="I17" s="135">
        <f>ROUND($I$59*$C17,2)</f>
        <v>313.54000000000002</v>
      </c>
      <c r="J17" s="135">
        <f t="shared" si="4"/>
        <v>549.12</v>
      </c>
      <c r="K17" s="136"/>
      <c r="L17" s="135">
        <f t="shared" si="5"/>
        <v>37.019999999999982</v>
      </c>
      <c r="M17" s="137">
        <f t="shared" si="6"/>
        <v>7.2290568248388948E-2</v>
      </c>
      <c r="N17" s="137"/>
      <c r="O17" s="135">
        <f t="shared" si="12"/>
        <v>241.48</v>
      </c>
      <c r="P17" s="135">
        <f t="shared" si="13"/>
        <v>313.54000000000002</v>
      </c>
      <c r="Q17" s="135">
        <f t="shared" si="7"/>
        <v>555.02</v>
      </c>
      <c r="R17" s="136"/>
      <c r="S17" s="135">
        <f t="shared" si="14"/>
        <v>5.8999999999999773</v>
      </c>
      <c r="T17" s="137">
        <f t="shared" si="15"/>
        <v>1.0744463869463828E-2</v>
      </c>
      <c r="U17" s="137"/>
      <c r="V17" s="135">
        <f t="shared" si="16"/>
        <v>241.08</v>
      </c>
      <c r="W17" s="135">
        <f t="shared" si="8"/>
        <v>313.54000000000002</v>
      </c>
      <c r="X17" s="135">
        <f t="shared" si="9"/>
        <v>554.62</v>
      </c>
      <c r="Y17" s="136"/>
      <c r="Z17" s="135">
        <f t="shared" si="17"/>
        <v>-0.39999999999997726</v>
      </c>
      <c r="AA17" s="137">
        <f t="shared" si="18"/>
        <v>-7.2069474973870723E-4</v>
      </c>
      <c r="AB17" s="136"/>
    </row>
    <row r="18" spans="1:28" ht="14" x14ac:dyDescent="0.3">
      <c r="A18" s="67">
        <f t="shared" si="0"/>
        <v>18</v>
      </c>
      <c r="B18" s="31"/>
      <c r="C18" s="105">
        <v>3200</v>
      </c>
      <c r="D18" s="135">
        <f t="shared" si="10"/>
        <v>308.7</v>
      </c>
      <c r="E18" s="135">
        <f t="shared" si="1"/>
        <v>501.66</v>
      </c>
      <c r="F18" s="135">
        <f t="shared" si="2"/>
        <v>810.36</v>
      </c>
      <c r="G18" s="136"/>
      <c r="H18" s="135">
        <f t="shared" si="11"/>
        <v>367.93</v>
      </c>
      <c r="I18" s="135">
        <f t="shared" si="3"/>
        <v>501.66</v>
      </c>
      <c r="J18" s="135">
        <f t="shared" si="4"/>
        <v>869.59</v>
      </c>
      <c r="K18" s="136"/>
      <c r="L18" s="135">
        <f t="shared" si="5"/>
        <v>59.230000000000018</v>
      </c>
      <c r="M18" s="137">
        <f t="shared" si="6"/>
        <v>7.3090971913717384E-2</v>
      </c>
      <c r="N18" s="137"/>
      <c r="O18" s="135">
        <f t="shared" si="12"/>
        <v>377.37</v>
      </c>
      <c r="P18" s="135">
        <f>ROUND($J$59*$C18,2)</f>
        <v>501.66</v>
      </c>
      <c r="Q18" s="135">
        <f t="shared" si="7"/>
        <v>879.03</v>
      </c>
      <c r="R18" s="136"/>
      <c r="S18" s="135">
        <f t="shared" si="14"/>
        <v>9.4399999999999409</v>
      </c>
      <c r="T18" s="137">
        <f t="shared" si="15"/>
        <v>1.0855690612817466E-2</v>
      </c>
      <c r="U18" s="137"/>
      <c r="V18" s="135">
        <f t="shared" si="16"/>
        <v>376.73</v>
      </c>
      <c r="W18" s="135">
        <f>ROUND($L$59*$C18,2)</f>
        <v>501.66</v>
      </c>
      <c r="X18" s="135">
        <f t="shared" si="9"/>
        <v>878.3900000000001</v>
      </c>
      <c r="Y18" s="136"/>
      <c r="Z18" s="135">
        <f t="shared" si="17"/>
        <v>-0.63999999999987267</v>
      </c>
      <c r="AA18" s="137">
        <f t="shared" si="18"/>
        <v>-7.2807526478035184E-4</v>
      </c>
      <c r="AB18" s="136"/>
    </row>
    <row r="19" spans="1:28" ht="14" x14ac:dyDescent="0.3">
      <c r="A19" s="67">
        <f t="shared" si="0"/>
        <v>19</v>
      </c>
      <c r="B19" s="31"/>
      <c r="C19" s="105">
        <v>5000</v>
      </c>
      <c r="D19" s="135">
        <f t="shared" si="10"/>
        <v>473.9</v>
      </c>
      <c r="E19" s="135">
        <f t="shared" si="1"/>
        <v>783.85</v>
      </c>
      <c r="F19" s="135">
        <f t="shared" si="2"/>
        <v>1257.75</v>
      </c>
      <c r="G19" s="136"/>
      <c r="H19" s="135">
        <f t="shared" si="11"/>
        <v>566.45000000000005</v>
      </c>
      <c r="I19" s="135">
        <f t="shared" si="3"/>
        <v>783.85</v>
      </c>
      <c r="J19" s="135">
        <f t="shared" si="4"/>
        <v>1350.3000000000002</v>
      </c>
      <c r="K19" s="136"/>
      <c r="L19" s="135">
        <f t="shared" si="5"/>
        <v>92.550000000000182</v>
      </c>
      <c r="M19" s="137">
        <f t="shared" si="6"/>
        <v>7.3583780560524892E-2</v>
      </c>
      <c r="N19" s="137"/>
      <c r="O19" s="135">
        <f t="shared" si="12"/>
        <v>581.20000000000005</v>
      </c>
      <c r="P19" s="135">
        <f t="shared" si="13"/>
        <v>783.85</v>
      </c>
      <c r="Q19" s="135">
        <f t="shared" si="7"/>
        <v>1365.0500000000002</v>
      </c>
      <c r="R19" s="136"/>
      <c r="S19" s="135">
        <f t="shared" si="14"/>
        <v>14.75</v>
      </c>
      <c r="T19" s="137">
        <f t="shared" si="15"/>
        <v>1.0923498481818854E-2</v>
      </c>
      <c r="U19" s="137"/>
      <c r="V19" s="135">
        <f t="shared" si="16"/>
        <v>580.20000000000005</v>
      </c>
      <c r="W19" s="135">
        <f t="shared" si="8"/>
        <v>783.85</v>
      </c>
      <c r="X19" s="135">
        <f t="shared" si="9"/>
        <v>1364.0500000000002</v>
      </c>
      <c r="Y19" s="136"/>
      <c r="Z19" s="135">
        <f t="shared" si="17"/>
        <v>-1</v>
      </c>
      <c r="AA19" s="137">
        <f t="shared" si="18"/>
        <v>-7.3257389839200015E-4</v>
      </c>
      <c r="AB19" s="136"/>
    </row>
    <row r="20" spans="1:28" ht="14" x14ac:dyDescent="0.3">
      <c r="A20" s="67">
        <f t="shared" si="0"/>
        <v>20</v>
      </c>
      <c r="B20" s="31"/>
      <c r="C20" s="105">
        <v>7500</v>
      </c>
      <c r="D20" s="135">
        <f t="shared" si="10"/>
        <v>703.35</v>
      </c>
      <c r="E20" s="135">
        <f t="shared" si="1"/>
        <v>1175.78</v>
      </c>
      <c r="F20" s="135">
        <f t="shared" si="2"/>
        <v>1879.13</v>
      </c>
      <c r="G20" s="136"/>
      <c r="H20" s="135">
        <f t="shared" si="11"/>
        <v>842.18</v>
      </c>
      <c r="I20" s="135">
        <f t="shared" si="3"/>
        <v>1175.78</v>
      </c>
      <c r="J20" s="135">
        <f t="shared" si="4"/>
        <v>2017.96</v>
      </c>
      <c r="K20" s="136"/>
      <c r="L20" s="135">
        <f t="shared" si="5"/>
        <v>138.82999999999993</v>
      </c>
      <c r="M20" s="137">
        <f t="shared" si="6"/>
        <v>7.3879933799151698E-2</v>
      </c>
      <c r="N20" s="137"/>
      <c r="O20" s="135">
        <f t="shared" si="12"/>
        <v>864.3</v>
      </c>
      <c r="P20" s="135">
        <f t="shared" si="13"/>
        <v>1175.78</v>
      </c>
      <c r="Q20" s="135">
        <f t="shared" si="7"/>
        <v>2040.08</v>
      </c>
      <c r="R20" s="136"/>
      <c r="S20" s="135">
        <f t="shared" si="14"/>
        <v>22.119999999999891</v>
      </c>
      <c r="T20" s="137">
        <f t="shared" si="15"/>
        <v>1.0961565144997864E-2</v>
      </c>
      <c r="U20" s="137"/>
      <c r="V20" s="135">
        <f t="shared" si="16"/>
        <v>862.8</v>
      </c>
      <c r="W20" s="135">
        <f t="shared" si="8"/>
        <v>1175.78</v>
      </c>
      <c r="X20" s="135">
        <f t="shared" si="9"/>
        <v>2038.58</v>
      </c>
      <c r="Y20" s="136"/>
      <c r="Z20" s="135">
        <f t="shared" si="17"/>
        <v>-1.5</v>
      </c>
      <c r="AA20" s="137">
        <f t="shared" si="18"/>
        <v>-7.3526528371436421E-4</v>
      </c>
      <c r="AB20" s="136"/>
    </row>
    <row r="21" spans="1:28" ht="14" x14ac:dyDescent="0.3">
      <c r="A21" s="67">
        <f t="shared" si="0"/>
        <v>21</v>
      </c>
      <c r="B21" s="31"/>
      <c r="C21" s="105">
        <v>16000</v>
      </c>
      <c r="D21" s="135">
        <f t="shared" si="10"/>
        <v>1483.48</v>
      </c>
      <c r="E21" s="135">
        <f t="shared" si="1"/>
        <v>2508.3200000000002</v>
      </c>
      <c r="F21" s="135">
        <f t="shared" si="2"/>
        <v>3991.8</v>
      </c>
      <c r="G21" s="136"/>
      <c r="H21" s="135">
        <f t="shared" si="11"/>
        <v>1779.64</v>
      </c>
      <c r="I21" s="135">
        <f t="shared" si="3"/>
        <v>2508.3200000000002</v>
      </c>
      <c r="J21" s="135">
        <f t="shared" si="4"/>
        <v>4287.96</v>
      </c>
      <c r="K21" s="136"/>
      <c r="L21" s="135">
        <f t="shared" si="5"/>
        <v>296.15999999999985</v>
      </c>
      <c r="M21" s="137">
        <f t="shared" si="6"/>
        <v>7.4192093792274122E-2</v>
      </c>
      <c r="N21" s="137"/>
      <c r="O21" s="135">
        <f t="shared" si="12"/>
        <v>1826.84</v>
      </c>
      <c r="P21" s="135">
        <f t="shared" si="13"/>
        <v>2508.3200000000002</v>
      </c>
      <c r="Q21" s="135">
        <f t="shared" si="7"/>
        <v>4335.16</v>
      </c>
      <c r="R21" s="136"/>
      <c r="S21" s="135">
        <f t="shared" si="14"/>
        <v>47.199999999999818</v>
      </c>
      <c r="T21" s="137">
        <f t="shared" si="15"/>
        <v>1.1007565369079894E-2</v>
      </c>
      <c r="U21" s="137"/>
      <c r="V21" s="135">
        <f t="shared" si="16"/>
        <v>1823.64</v>
      </c>
      <c r="W21" s="135">
        <f>ROUND($L$59*$C21,2)</f>
        <v>2508.3200000000002</v>
      </c>
      <c r="X21" s="135">
        <f t="shared" si="9"/>
        <v>4331.96</v>
      </c>
      <c r="Y21" s="136"/>
      <c r="Z21" s="135">
        <f t="shared" si="17"/>
        <v>-3.1999999999998181</v>
      </c>
      <c r="AA21" s="137">
        <f t="shared" si="18"/>
        <v>-7.3815037968605964E-4</v>
      </c>
      <c r="AB21" s="136"/>
    </row>
    <row r="22" spans="1:28" ht="14" x14ac:dyDescent="0.3">
      <c r="A22" s="67">
        <f t="shared" si="0"/>
        <v>22</v>
      </c>
      <c r="B22" s="31"/>
      <c r="C22" s="105">
        <v>60000</v>
      </c>
      <c r="D22" s="135">
        <f t="shared" si="10"/>
        <v>5521.8</v>
      </c>
      <c r="E22" s="135">
        <f t="shared" si="1"/>
        <v>9406.2000000000007</v>
      </c>
      <c r="F22" s="135">
        <f t="shared" si="2"/>
        <v>14928</v>
      </c>
      <c r="G22" s="136"/>
      <c r="H22" s="135">
        <f t="shared" si="11"/>
        <v>6632.4</v>
      </c>
      <c r="I22" s="135">
        <f t="shared" si="3"/>
        <v>9406.2000000000007</v>
      </c>
      <c r="J22" s="135">
        <f t="shared" si="4"/>
        <v>16038.6</v>
      </c>
      <c r="K22" s="136"/>
      <c r="L22" s="135">
        <f t="shared" si="5"/>
        <v>1110.6000000000004</v>
      </c>
      <c r="M22" s="137">
        <f t="shared" si="6"/>
        <v>7.439710610932479E-2</v>
      </c>
      <c r="N22" s="137"/>
      <c r="O22" s="135">
        <f t="shared" si="12"/>
        <v>6809.4</v>
      </c>
      <c r="P22" s="135">
        <f t="shared" si="13"/>
        <v>9406.2000000000007</v>
      </c>
      <c r="Q22" s="135">
        <f t="shared" si="7"/>
        <v>16215.6</v>
      </c>
      <c r="R22" s="136"/>
      <c r="S22" s="135">
        <f t="shared" si="14"/>
        <v>177</v>
      </c>
      <c r="T22" s="137">
        <f t="shared" si="15"/>
        <v>1.103587594927238E-2</v>
      </c>
      <c r="U22" s="137"/>
      <c r="V22" s="135">
        <f t="shared" si="16"/>
        <v>6797.4</v>
      </c>
      <c r="W22" s="135">
        <f t="shared" si="8"/>
        <v>9406.2000000000007</v>
      </c>
      <c r="X22" s="135">
        <f t="shared" si="9"/>
        <v>16203.6</v>
      </c>
      <c r="Y22" s="136"/>
      <c r="Z22" s="135">
        <f t="shared" si="17"/>
        <v>-12</v>
      </c>
      <c r="AA22" s="137">
        <f t="shared" si="18"/>
        <v>-7.4002812106860056E-4</v>
      </c>
      <c r="AB22" s="136"/>
    </row>
    <row r="23" spans="1:28" ht="14" x14ac:dyDescent="0.3">
      <c r="A23" s="67">
        <f t="shared" si="0"/>
        <v>23</v>
      </c>
      <c r="B23" s="31" t="s">
        <v>52</v>
      </c>
      <c r="C23" s="105">
        <v>9649</v>
      </c>
      <c r="D23" s="135">
        <f t="shared" si="10"/>
        <v>900.59</v>
      </c>
      <c r="E23" s="135">
        <f t="shared" si="1"/>
        <v>1512.67</v>
      </c>
      <c r="F23" s="135">
        <f t="shared" si="2"/>
        <v>2413.2600000000002</v>
      </c>
      <c r="G23" s="136"/>
      <c r="H23" s="135">
        <f t="shared" si="11"/>
        <v>1079.19</v>
      </c>
      <c r="I23" s="135">
        <f t="shared" si="3"/>
        <v>1512.67</v>
      </c>
      <c r="J23" s="135">
        <f t="shared" si="4"/>
        <v>2591.86</v>
      </c>
      <c r="K23" s="136"/>
      <c r="L23" s="135">
        <f t="shared" si="5"/>
        <v>178.59999999999991</v>
      </c>
      <c r="M23" s="137">
        <f t="shared" si="6"/>
        <v>7.4007773716880859E-2</v>
      </c>
      <c r="N23" s="137"/>
      <c r="O23" s="135">
        <f t="shared" si="12"/>
        <v>1107.6500000000001</v>
      </c>
      <c r="P23" s="135">
        <f t="shared" si="13"/>
        <v>1512.67</v>
      </c>
      <c r="Q23" s="135">
        <f t="shared" si="7"/>
        <v>2620.3200000000002</v>
      </c>
      <c r="R23" s="136"/>
      <c r="S23" s="135">
        <f t="shared" si="14"/>
        <v>28.460000000000036</v>
      </c>
      <c r="T23" s="137">
        <f t="shared" si="15"/>
        <v>1.0980531355860284E-2</v>
      </c>
      <c r="U23" s="137"/>
      <c r="V23" s="135">
        <f t="shared" si="16"/>
        <v>1105.72</v>
      </c>
      <c r="W23" s="135">
        <f t="shared" si="8"/>
        <v>1512.67</v>
      </c>
      <c r="X23" s="135">
        <f t="shared" si="9"/>
        <v>2618.3900000000003</v>
      </c>
      <c r="Y23" s="136"/>
      <c r="Z23" s="135">
        <f t="shared" si="17"/>
        <v>-1.9299999999998363</v>
      </c>
      <c r="AA23" s="137">
        <f t="shared" si="18"/>
        <v>-7.3655126091463495E-4</v>
      </c>
      <c r="AB23" s="136"/>
    </row>
    <row r="24" spans="1:28" ht="14" x14ac:dyDescent="0.3">
      <c r="A24" s="67">
        <f t="shared" si="0"/>
        <v>24</v>
      </c>
      <c r="B24" s="31"/>
      <c r="C24" s="152"/>
      <c r="D24" s="153"/>
      <c r="E24" s="153"/>
      <c r="F24" s="153"/>
      <c r="G24" s="159"/>
      <c r="H24" s="153"/>
      <c r="I24" s="153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</row>
    <row r="25" spans="1:28" ht="14" x14ac:dyDescent="0.3">
      <c r="A25" s="67">
        <f t="shared" si="0"/>
        <v>25</v>
      </c>
      <c r="B25" s="31"/>
      <c r="C25" s="105"/>
      <c r="D25" s="135"/>
      <c r="E25" s="135"/>
      <c r="F25" s="135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</row>
    <row r="26" spans="1:28" ht="14" x14ac:dyDescent="0.3">
      <c r="A26" s="67">
        <f t="shared" si="0"/>
        <v>26</v>
      </c>
      <c r="B26" s="31"/>
      <c r="C26" s="44" t="s">
        <v>53</v>
      </c>
      <c r="D26" s="44"/>
      <c r="E26" s="136"/>
      <c r="G26" s="83"/>
      <c r="H26" s="45">
        <f>'EMA R1'!H28</f>
        <v>2024</v>
      </c>
      <c r="I26" s="45">
        <f>'EMA R1'!I28</f>
        <v>2025</v>
      </c>
      <c r="J26" s="45">
        <f>'EMA R1'!J28</f>
        <v>2026</v>
      </c>
      <c r="K26" s="45"/>
      <c r="L26" s="45">
        <f>'EMA R1'!L28</f>
        <v>2027</v>
      </c>
      <c r="M26" s="45" t="str">
        <f>'EMA R1'!M28</f>
        <v>2025 v 2024</v>
      </c>
      <c r="N26" s="45"/>
      <c r="O26" s="45" t="str">
        <f>'EMA R1'!O28</f>
        <v>2026 v 2025</v>
      </c>
      <c r="P26" s="45" t="str">
        <f>'EMA R1'!P28</f>
        <v>2027 v 2026</v>
      </c>
      <c r="Q26" s="136"/>
      <c r="R26" s="136"/>
      <c r="S26" s="136"/>
      <c r="T26" s="136"/>
      <c r="U26" s="136"/>
      <c r="V26" s="136"/>
    </row>
    <row r="27" spans="1:28" ht="15.5" x14ac:dyDescent="0.45">
      <c r="A27" s="67">
        <f t="shared" si="0"/>
        <v>27</v>
      </c>
      <c r="B27" s="31"/>
      <c r="C27" s="44" t="s">
        <v>53</v>
      </c>
      <c r="E27" s="136"/>
      <c r="G27" s="85"/>
      <c r="H27" s="47" t="str">
        <f>+'BOS G1ND'!H27</f>
        <v>Rates</v>
      </c>
      <c r="I27" s="47" t="s">
        <v>57</v>
      </c>
      <c r="J27" s="47" t="s">
        <v>57</v>
      </c>
      <c r="K27" s="37"/>
      <c r="L27" s="47" t="s">
        <v>57</v>
      </c>
      <c r="M27" s="48" t="s">
        <v>51</v>
      </c>
      <c r="N27" s="22"/>
      <c r="O27" s="48" t="s">
        <v>51</v>
      </c>
      <c r="P27" s="48" t="s">
        <v>51</v>
      </c>
      <c r="Q27" s="136"/>
      <c r="R27" s="136"/>
      <c r="S27" s="136"/>
      <c r="T27" s="136"/>
      <c r="U27" s="136"/>
      <c r="V27" s="136"/>
    </row>
    <row r="28" spans="1:28" ht="14" x14ac:dyDescent="0.3">
      <c r="A28" s="67">
        <f t="shared" si="0"/>
        <v>28</v>
      </c>
      <c r="B28" s="31"/>
      <c r="C28" s="44" t="s">
        <v>58</v>
      </c>
      <c r="D28" s="23"/>
      <c r="E28" s="136"/>
      <c r="G28" s="142"/>
      <c r="H28" s="88">
        <v>15</v>
      </c>
      <c r="I28" s="49">
        <f t="shared" ref="I28:I55" si="19">+H28</f>
        <v>15</v>
      </c>
      <c r="J28" s="49">
        <f t="shared" ref="J28:J55" si="20">H28</f>
        <v>15</v>
      </c>
      <c r="K28" s="37"/>
      <c r="L28" s="49">
        <f t="shared" ref="L28:L55" si="21">H28</f>
        <v>15</v>
      </c>
      <c r="M28" s="50">
        <f t="shared" ref="M28:M55" si="22">+I28-H28</f>
        <v>0</v>
      </c>
      <c r="N28" s="50"/>
      <c r="O28" s="50">
        <f t="shared" ref="O28:O55" si="23">+J28-I28</f>
        <v>0</v>
      </c>
      <c r="P28" s="50">
        <f t="shared" ref="P28:P55" si="24">+L28-J28</f>
        <v>0</v>
      </c>
      <c r="Q28" s="89" t="s">
        <v>59</v>
      </c>
      <c r="R28" s="136"/>
      <c r="S28" s="136"/>
      <c r="T28" s="136"/>
      <c r="U28" s="136"/>
      <c r="V28" s="136"/>
    </row>
    <row r="29" spans="1:28" ht="14" x14ac:dyDescent="0.3">
      <c r="A29" s="67">
        <f t="shared" si="0"/>
        <v>29</v>
      </c>
      <c r="B29" s="31"/>
      <c r="C29" s="44" t="s">
        <v>151</v>
      </c>
      <c r="D29" s="23"/>
      <c r="E29" s="136"/>
      <c r="G29" s="92"/>
      <c r="H29" s="91">
        <v>2.6939999999999999E-2</v>
      </c>
      <c r="I29" s="53">
        <f t="shared" si="19"/>
        <v>2.6939999999999999E-2</v>
      </c>
      <c r="J29" s="53">
        <f t="shared" si="20"/>
        <v>2.6939999999999999E-2</v>
      </c>
      <c r="K29" s="37"/>
      <c r="L29" s="53">
        <f t="shared" si="21"/>
        <v>2.6939999999999999E-2</v>
      </c>
      <c r="M29" s="54">
        <f t="shared" si="22"/>
        <v>0</v>
      </c>
      <c r="N29" s="54"/>
      <c r="O29" s="54">
        <f t="shared" si="23"/>
        <v>0</v>
      </c>
      <c r="P29" s="54">
        <f t="shared" si="24"/>
        <v>0</v>
      </c>
      <c r="Q29" s="89" t="s">
        <v>59</v>
      </c>
      <c r="R29" s="136"/>
      <c r="S29" s="136"/>
      <c r="T29" s="136"/>
      <c r="U29" s="136"/>
      <c r="V29" s="136"/>
    </row>
    <row r="30" spans="1:28" ht="14" x14ac:dyDescent="0.3">
      <c r="A30" s="67">
        <f t="shared" si="0"/>
        <v>30</v>
      </c>
      <c r="B30" s="31"/>
      <c r="C30" s="44" t="str">
        <f>+'BOS G1ND'!C30</f>
        <v>Exogenous Cost Adjustment</v>
      </c>
      <c r="E30" s="136"/>
      <c r="G30" s="92"/>
      <c r="H30" s="91">
        <v>7.5000000000000002E-4</v>
      </c>
      <c r="I30" s="53">
        <f t="shared" si="19"/>
        <v>7.5000000000000002E-4</v>
      </c>
      <c r="J30" s="53">
        <f t="shared" si="20"/>
        <v>7.5000000000000002E-4</v>
      </c>
      <c r="K30" s="37"/>
      <c r="L30" s="53">
        <f t="shared" si="21"/>
        <v>7.5000000000000002E-4</v>
      </c>
      <c r="M30" s="54">
        <f t="shared" si="22"/>
        <v>0</v>
      </c>
      <c r="N30" s="54"/>
      <c r="O30" s="54">
        <f t="shared" si="23"/>
        <v>0</v>
      </c>
      <c r="P30" s="54">
        <f t="shared" si="24"/>
        <v>0</v>
      </c>
      <c r="Q30" s="89" t="str">
        <f>+'BOS G1ND'!Q30</f>
        <v>ECA</v>
      </c>
      <c r="R30" s="136"/>
      <c r="S30" s="136"/>
      <c r="T30" s="136"/>
      <c r="U30" s="136"/>
      <c r="V30" s="136"/>
    </row>
    <row r="31" spans="1:28" ht="14" x14ac:dyDescent="0.3">
      <c r="A31" s="67">
        <f t="shared" si="0"/>
        <v>31</v>
      </c>
      <c r="B31" s="31"/>
      <c r="C31" s="44" t="str">
        <f>+'BOS G1ND'!C31</f>
        <v>Revenue Decoupling</v>
      </c>
      <c r="D31" s="23"/>
      <c r="E31" s="136"/>
      <c r="G31" s="92"/>
      <c r="H31" s="91">
        <v>4.0000000000000003E-5</v>
      </c>
      <c r="I31" s="53">
        <f t="shared" si="19"/>
        <v>4.0000000000000003E-5</v>
      </c>
      <c r="J31" s="53">
        <f t="shared" si="20"/>
        <v>4.0000000000000003E-5</v>
      </c>
      <c r="K31" s="37"/>
      <c r="L31" s="53">
        <f t="shared" si="21"/>
        <v>4.0000000000000003E-5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89" t="str">
        <f>+'BOS G1ND'!Q31</f>
        <v>RDAF</v>
      </c>
      <c r="R31" s="136"/>
      <c r="S31" s="136"/>
      <c r="T31" s="136"/>
      <c r="U31" s="136"/>
      <c r="V31" s="136"/>
    </row>
    <row r="32" spans="1:28" ht="14" x14ac:dyDescent="0.3">
      <c r="A32" s="67">
        <f t="shared" si="0"/>
        <v>32</v>
      </c>
      <c r="B32" s="31"/>
      <c r="C32" s="44" t="str">
        <f>+'BOS G1ND'!C32</f>
        <v>Distributed Solar Charge</v>
      </c>
      <c r="D32" s="23"/>
      <c r="E32" s="136"/>
      <c r="G32" s="92"/>
      <c r="H32" s="91">
        <v>5.8999999999999999E-3</v>
      </c>
      <c r="I32" s="53">
        <f t="shared" si="19"/>
        <v>5.8999999999999999E-3</v>
      </c>
      <c r="J32" s="53">
        <f t="shared" si="20"/>
        <v>5.8999999999999999E-3</v>
      </c>
      <c r="K32" s="37"/>
      <c r="L32" s="53">
        <f t="shared" si="21"/>
        <v>5.8999999999999999E-3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89" t="str">
        <f>+'BOS G1ND'!Q32</f>
        <v>SMART</v>
      </c>
      <c r="R32" s="136"/>
      <c r="S32" s="136"/>
      <c r="T32" s="136"/>
      <c r="U32" s="136"/>
      <c r="V32" s="136"/>
    </row>
    <row r="33" spans="1:22" ht="14" x14ac:dyDescent="0.3">
      <c r="A33" s="67">
        <f t="shared" si="0"/>
        <v>33</v>
      </c>
      <c r="B33" s="31"/>
      <c r="C33" s="44" t="str">
        <f>+'BOS G1ND'!C33</f>
        <v>Residential Assistance Adjustment Factor</v>
      </c>
      <c r="D33" s="23"/>
      <c r="E33" s="136"/>
      <c r="G33" s="92"/>
      <c r="H33" s="53">
        <v>6.0200000000000002E-3</v>
      </c>
      <c r="I33" s="53">
        <f t="shared" si="19"/>
        <v>6.0200000000000002E-3</v>
      </c>
      <c r="J33" s="53">
        <f t="shared" si="20"/>
        <v>6.0200000000000002E-3</v>
      </c>
      <c r="K33" s="37"/>
      <c r="L33" s="53">
        <f t="shared" si="21"/>
        <v>6.0200000000000002E-3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89" t="str">
        <f>+'BOS G1ND'!Q33</f>
        <v>RAAF</v>
      </c>
      <c r="R33" s="136"/>
      <c r="S33" s="136"/>
      <c r="T33" s="136"/>
      <c r="U33" s="136"/>
      <c r="V33" s="136"/>
    </row>
    <row r="34" spans="1:22" ht="14" x14ac:dyDescent="0.3">
      <c r="A34" s="67">
        <f t="shared" si="0"/>
        <v>34</v>
      </c>
      <c r="B34" s="31"/>
      <c r="C34" s="44" t="str">
        <f>+'BOS G1ND'!C34</f>
        <v>Pension Adjustment Factor</v>
      </c>
      <c r="D34" s="23"/>
      <c r="E34" s="136"/>
      <c r="G34" s="92"/>
      <c r="H34" s="53">
        <v>5.8E-4</v>
      </c>
      <c r="I34" s="53">
        <f t="shared" si="19"/>
        <v>5.8E-4</v>
      </c>
      <c r="J34" s="53">
        <f t="shared" si="20"/>
        <v>5.8E-4</v>
      </c>
      <c r="K34" s="37"/>
      <c r="L34" s="53">
        <f t="shared" si="21"/>
        <v>5.8E-4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89" t="str">
        <f>+'BOS G1ND'!Q34</f>
        <v>PAF</v>
      </c>
      <c r="R34" s="136"/>
      <c r="S34" s="136"/>
      <c r="T34" s="136"/>
      <c r="U34" s="136"/>
      <c r="V34" s="136"/>
    </row>
    <row r="35" spans="1:22" ht="14" x14ac:dyDescent="0.3">
      <c r="A35" s="67">
        <f t="shared" si="0"/>
        <v>35</v>
      </c>
      <c r="B35" s="31"/>
      <c r="C35" s="44" t="str">
        <f>+'BOS G1ND'!C35</f>
        <v>Net Metering Recovery Surcharge</v>
      </c>
      <c r="D35" s="23"/>
      <c r="E35" s="136"/>
      <c r="G35" s="92"/>
      <c r="H35" s="91">
        <v>1.197E-2</v>
      </c>
      <c r="I35" s="53">
        <f t="shared" si="19"/>
        <v>1.197E-2</v>
      </c>
      <c r="J35" s="53">
        <f t="shared" si="20"/>
        <v>1.197E-2</v>
      </c>
      <c r="K35" s="37"/>
      <c r="L35" s="53">
        <f t="shared" si="21"/>
        <v>1.197E-2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89" t="str">
        <f>+'BOS G1ND'!Q35</f>
        <v>NMRS</v>
      </c>
      <c r="R35" s="136"/>
      <c r="S35" s="136"/>
      <c r="T35" s="136"/>
      <c r="U35" s="136"/>
      <c r="V35" s="136"/>
    </row>
    <row r="36" spans="1:22" ht="14" x14ac:dyDescent="0.3">
      <c r="A36" s="67">
        <f t="shared" si="0"/>
        <v>36</v>
      </c>
      <c r="B36" s="31"/>
      <c r="C36" s="44" t="str">
        <f>+'BOS G1ND'!C36</f>
        <v>Long Term Renewable Contract Adjustment</v>
      </c>
      <c r="D36" s="23"/>
      <c r="E36" s="136"/>
      <c r="G36" s="92"/>
      <c r="H36" s="53">
        <v>-1.9300000000000001E-3</v>
      </c>
      <c r="I36" s="53">
        <f t="shared" si="19"/>
        <v>-1.9300000000000001E-3</v>
      </c>
      <c r="J36" s="53">
        <f t="shared" si="20"/>
        <v>-1.9300000000000001E-3</v>
      </c>
      <c r="K36" s="37"/>
      <c r="L36" s="53">
        <f t="shared" si="21"/>
        <v>-1.9300000000000001E-3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89" t="str">
        <f>+'BOS G1ND'!Q36</f>
        <v>LTRCA</v>
      </c>
      <c r="R36" s="136"/>
      <c r="S36" s="136"/>
      <c r="T36" s="136"/>
      <c r="U36" s="136"/>
      <c r="V36" s="136"/>
    </row>
    <row r="37" spans="1:22" ht="14" x14ac:dyDescent="0.3">
      <c r="A37" s="67">
        <f t="shared" si="0"/>
        <v>37</v>
      </c>
      <c r="B37" s="31"/>
      <c r="C37" s="44" t="str">
        <f>+'BOS G1ND'!C37</f>
        <v>AG Consulting Expense</v>
      </c>
      <c r="D37" s="23"/>
      <c r="E37" s="136"/>
      <c r="G37" s="92"/>
      <c r="H37" s="53">
        <v>4.0000000000000003E-5</v>
      </c>
      <c r="I37" s="53">
        <f t="shared" si="19"/>
        <v>4.0000000000000003E-5</v>
      </c>
      <c r="J37" s="53">
        <f t="shared" si="20"/>
        <v>4.0000000000000003E-5</v>
      </c>
      <c r="K37" s="37"/>
      <c r="L37" s="53">
        <f t="shared" si="21"/>
        <v>4.0000000000000003E-5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89" t="str">
        <f>+'BOS G1ND'!Q37</f>
        <v>AGCE</v>
      </c>
      <c r="R37" s="136"/>
      <c r="S37" s="136"/>
      <c r="T37" s="136"/>
      <c r="U37" s="136"/>
      <c r="V37" s="136"/>
    </row>
    <row r="38" spans="1:22" ht="14" x14ac:dyDescent="0.3">
      <c r="A38" s="67">
        <f t="shared" si="0"/>
        <v>38</v>
      </c>
      <c r="B38" s="31"/>
      <c r="C38" s="44" t="str">
        <f>+'BOS G1ND'!C38</f>
        <v>Storm Cost Recovery Adjustment Factor</v>
      </c>
      <c r="E38" s="136"/>
      <c r="G38" s="92"/>
      <c r="H38" s="53">
        <v>4.8900000000000002E-3</v>
      </c>
      <c r="I38" s="53">
        <f t="shared" si="19"/>
        <v>4.8900000000000002E-3</v>
      </c>
      <c r="J38" s="53">
        <f t="shared" si="20"/>
        <v>4.8900000000000002E-3</v>
      </c>
      <c r="K38" s="37"/>
      <c r="L38" s="53">
        <f t="shared" si="21"/>
        <v>4.8900000000000002E-3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89" t="str">
        <f>+'BOS G1ND'!Q38</f>
        <v>SCRA</v>
      </c>
      <c r="R38" s="136"/>
      <c r="S38" s="136"/>
      <c r="T38" s="136"/>
      <c r="U38" s="136"/>
      <c r="V38" s="136"/>
    </row>
    <row r="39" spans="1:22" ht="14" x14ac:dyDescent="0.3">
      <c r="A39" s="67">
        <f t="shared" si="0"/>
        <v>39</v>
      </c>
      <c r="B39" s="31"/>
      <c r="C39" s="44" t="str">
        <f>+'BOS G1ND'!C39</f>
        <v>Storm Reserve Adjustment</v>
      </c>
      <c r="D39" s="23"/>
      <c r="E39" s="136"/>
      <c r="G39" s="92"/>
      <c r="H39" s="53">
        <v>0</v>
      </c>
      <c r="I39" s="53">
        <f t="shared" si="19"/>
        <v>0</v>
      </c>
      <c r="J39" s="53">
        <f t="shared" si="20"/>
        <v>0</v>
      </c>
      <c r="K39" s="37"/>
      <c r="L39" s="53">
        <f t="shared" si="21"/>
        <v>0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89" t="str">
        <f>+'BOS G1ND'!Q39</f>
        <v>SRA</v>
      </c>
      <c r="R39" s="136"/>
      <c r="S39" s="136"/>
      <c r="T39" s="136"/>
      <c r="U39" s="136"/>
      <c r="V39" s="136"/>
    </row>
    <row r="40" spans="1:22" ht="14" x14ac:dyDescent="0.3">
      <c r="A40" s="67">
        <f t="shared" si="0"/>
        <v>40</v>
      </c>
      <c r="B40" s="31"/>
      <c r="C40" s="44" t="str">
        <f>+'BOS G1ND'!C40</f>
        <v>Basic Service Cost True Up Factor</v>
      </c>
      <c r="D40" s="23"/>
      <c r="E40" s="136"/>
      <c r="G40" s="92"/>
      <c r="H40" s="53">
        <v>-3.4000000000000002E-4</v>
      </c>
      <c r="I40" s="53">
        <f t="shared" si="19"/>
        <v>-3.4000000000000002E-4</v>
      </c>
      <c r="J40" s="53">
        <f t="shared" si="20"/>
        <v>-3.4000000000000002E-4</v>
      </c>
      <c r="K40" s="37"/>
      <c r="L40" s="53">
        <f t="shared" si="21"/>
        <v>-3.4000000000000002E-4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89" t="str">
        <f>+'BOS G1ND'!Q40</f>
        <v>BSTF</v>
      </c>
      <c r="R40" s="136"/>
      <c r="S40" s="136"/>
      <c r="T40" s="136"/>
      <c r="U40" s="136"/>
      <c r="V40" s="136"/>
    </row>
    <row r="41" spans="1:22" ht="14" x14ac:dyDescent="0.3">
      <c r="A41" s="67">
        <f t="shared" si="0"/>
        <v>41</v>
      </c>
      <c r="B41" s="31"/>
      <c r="C41" s="44" t="str">
        <f>+'BOS G1ND'!C41</f>
        <v>Solar Program Cost Adjustment Factor</v>
      </c>
      <c r="D41" s="23"/>
      <c r="E41" s="136"/>
      <c r="G41" s="92"/>
      <c r="H41" s="53">
        <v>1.0000000000000001E-5</v>
      </c>
      <c r="I41" s="53">
        <f t="shared" si="19"/>
        <v>1.0000000000000001E-5</v>
      </c>
      <c r="J41" s="53">
        <f t="shared" si="20"/>
        <v>1.0000000000000001E-5</v>
      </c>
      <c r="K41" s="37"/>
      <c r="L41" s="53">
        <f t="shared" si="21"/>
        <v>1.0000000000000001E-5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89" t="str">
        <f>+'BOS G1ND'!Q41</f>
        <v>SPCA</v>
      </c>
      <c r="R41" s="136"/>
      <c r="S41" s="136"/>
      <c r="T41" s="136"/>
      <c r="U41" s="136"/>
      <c r="V41" s="136"/>
    </row>
    <row r="42" spans="1:22" ht="14" x14ac:dyDescent="0.3">
      <c r="A42" s="67">
        <f t="shared" si="0"/>
        <v>42</v>
      </c>
      <c r="B42" s="31"/>
      <c r="C42" s="44" t="str">
        <f>+'BOS G1ND'!C42</f>
        <v>Solar Expansion Cost Recovery Factor</v>
      </c>
      <c r="D42" s="37"/>
      <c r="E42" s="37"/>
      <c r="G42" s="53"/>
      <c r="H42" s="53">
        <v>-3.6999999999999999E-4</v>
      </c>
      <c r="I42" s="53">
        <f t="shared" si="19"/>
        <v>-3.6999999999999999E-4</v>
      </c>
      <c r="J42" s="53">
        <f t="shared" si="20"/>
        <v>-3.6999999999999999E-4</v>
      </c>
      <c r="K42" s="37"/>
      <c r="L42" s="53">
        <f t="shared" si="21"/>
        <v>-3.6999999999999999E-4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89" t="str">
        <f>+'BOS G1ND'!Q42</f>
        <v>SECRF</v>
      </c>
    </row>
    <row r="43" spans="1:22" ht="14" x14ac:dyDescent="0.3">
      <c r="A43" s="67">
        <f t="shared" si="0"/>
        <v>43</v>
      </c>
      <c r="B43" s="31"/>
      <c r="C43" s="44" t="str">
        <f>+'BOS G1ND'!C43</f>
        <v>Vegetation Management</v>
      </c>
      <c r="D43" s="37"/>
      <c r="E43" s="37"/>
      <c r="G43" s="53"/>
      <c r="H43" s="53">
        <v>1.2999999999999999E-3</v>
      </c>
      <c r="I43" s="53">
        <f t="shared" si="19"/>
        <v>1.2999999999999999E-3</v>
      </c>
      <c r="J43" s="53">
        <f t="shared" si="20"/>
        <v>1.2999999999999999E-3</v>
      </c>
      <c r="K43" s="37"/>
      <c r="L43" s="53">
        <f t="shared" si="21"/>
        <v>1.2999999999999999E-3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89" t="str">
        <f>+'BOS G1ND'!Q43</f>
        <v>RTWF</v>
      </c>
    </row>
    <row r="44" spans="1:22" ht="14" x14ac:dyDescent="0.3">
      <c r="A44" s="67">
        <f t="shared" si="0"/>
        <v>44</v>
      </c>
      <c r="B44" s="31"/>
      <c r="C44" s="44" t="str">
        <f>+'BOS G1ND'!C44</f>
        <v>Tax Act Credit Factor</v>
      </c>
      <c r="D44" s="23"/>
      <c r="E44" s="136"/>
      <c r="G44" s="92"/>
      <c r="H44" s="53">
        <v>-1.33E-3</v>
      </c>
      <c r="I44" s="53">
        <f t="shared" si="19"/>
        <v>-1.33E-3</v>
      </c>
      <c r="J44" s="53">
        <f t="shared" si="20"/>
        <v>-1.33E-3</v>
      </c>
      <c r="K44" s="37"/>
      <c r="L44" s="53">
        <f t="shared" si="21"/>
        <v>-1.33E-3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89" t="str">
        <f>+'BOS G1ND'!Q44</f>
        <v>TACF</v>
      </c>
      <c r="R44" s="136"/>
      <c r="S44" s="136"/>
      <c r="T44" s="136"/>
      <c r="U44" s="136"/>
      <c r="V44" s="136"/>
    </row>
    <row r="45" spans="1:22" ht="14" x14ac:dyDescent="0.3">
      <c r="A45" s="67">
        <f t="shared" si="0"/>
        <v>45</v>
      </c>
      <c r="B45" s="31"/>
      <c r="C45" s="44" t="str">
        <f>+'BOS G1ND'!C45</f>
        <v>Grid Modernization</v>
      </c>
      <c r="D45" s="23"/>
      <c r="E45" s="136"/>
      <c r="G45" s="92"/>
      <c r="H45" s="53">
        <v>1.65E-3</v>
      </c>
      <c r="I45" s="53">
        <f t="shared" si="19"/>
        <v>1.65E-3</v>
      </c>
      <c r="J45" s="53">
        <f t="shared" si="20"/>
        <v>1.65E-3</v>
      </c>
      <c r="K45" s="37"/>
      <c r="L45" s="53">
        <f t="shared" si="21"/>
        <v>1.65E-3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89" t="str">
        <f>+'BOS G1ND'!Q45</f>
        <v>GMOD</v>
      </c>
      <c r="R45" s="136"/>
      <c r="S45" s="136"/>
      <c r="T45" s="136"/>
      <c r="U45" s="136"/>
      <c r="V45" s="136"/>
    </row>
    <row r="46" spans="1:22" ht="14" x14ac:dyDescent="0.3">
      <c r="A46" s="67">
        <f t="shared" si="0"/>
        <v>46</v>
      </c>
      <c r="B46" s="31"/>
      <c r="C46" s="44" t="str">
        <f>+'BOS G1ND'!C46</f>
        <v>Advanced Metering Infrastructure</v>
      </c>
      <c r="D46" s="23"/>
      <c r="E46" s="136"/>
      <c r="G46" s="92"/>
      <c r="H46" s="53">
        <v>2.1900000000000001E-3</v>
      </c>
      <c r="I46" s="53">
        <f t="shared" si="19"/>
        <v>2.1900000000000001E-3</v>
      </c>
      <c r="J46" s="53">
        <f t="shared" si="20"/>
        <v>2.1900000000000001E-3</v>
      </c>
      <c r="K46" s="37"/>
      <c r="L46" s="53">
        <f t="shared" si="21"/>
        <v>2.1900000000000001E-3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89" t="str">
        <f>+'BOS G1ND'!Q46</f>
        <v>AMIF</v>
      </c>
      <c r="R46" s="136"/>
      <c r="S46" s="136"/>
      <c r="T46" s="136"/>
      <c r="U46" s="136"/>
      <c r="V46" s="136"/>
    </row>
    <row r="47" spans="1:22" ht="14" x14ac:dyDescent="0.3">
      <c r="A47" s="67">
        <f t="shared" si="0"/>
        <v>47</v>
      </c>
      <c r="B47" s="31"/>
      <c r="C47" s="44" t="str">
        <f>+'BOS G1ND'!C47</f>
        <v>Electronic Payment Recovery</v>
      </c>
      <c r="D47" s="23"/>
      <c r="E47" s="136"/>
      <c r="G47" s="92"/>
      <c r="H47" s="53">
        <v>0</v>
      </c>
      <c r="I47" s="53">
        <f t="shared" si="19"/>
        <v>0</v>
      </c>
      <c r="J47" s="53">
        <f t="shared" si="20"/>
        <v>0</v>
      </c>
      <c r="K47" s="37"/>
      <c r="L47" s="53">
        <f t="shared" si="21"/>
        <v>0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89" t="str">
        <f>+'BOS G1ND'!Q47</f>
        <v>EPR</v>
      </c>
      <c r="R47" s="136"/>
      <c r="S47" s="136"/>
      <c r="T47" s="136"/>
      <c r="U47" s="136"/>
      <c r="V47" s="136"/>
    </row>
    <row r="48" spans="1:22" ht="14" x14ac:dyDescent="0.3">
      <c r="A48" s="67">
        <f t="shared" si="0"/>
        <v>48</v>
      </c>
      <c r="B48" s="31"/>
      <c r="C48" s="44" t="str">
        <f>+'BOS G1ND'!C48</f>
        <v>Provisional System Planning Factor</v>
      </c>
      <c r="D48" s="23"/>
      <c r="E48" s="136"/>
      <c r="G48" s="92"/>
      <c r="H48" s="91">
        <v>0</v>
      </c>
      <c r="I48" s="53">
        <f t="shared" si="19"/>
        <v>0</v>
      </c>
      <c r="J48" s="53">
        <f t="shared" si="20"/>
        <v>0</v>
      </c>
      <c r="K48" s="37"/>
      <c r="L48" s="53">
        <f t="shared" si="21"/>
        <v>0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89" t="str">
        <f>+'BOS G1ND'!Q48</f>
        <v>PSPF</v>
      </c>
      <c r="R48" s="136"/>
      <c r="S48" s="136"/>
      <c r="T48" s="136"/>
      <c r="U48" s="136"/>
      <c r="V48" s="136"/>
    </row>
    <row r="49" spans="1:22" ht="14" x14ac:dyDescent="0.3">
      <c r="A49" s="67">
        <f t="shared" si="0"/>
        <v>49</v>
      </c>
      <c r="B49" s="31"/>
      <c r="C49" s="44" t="str">
        <f>+'BOS G1ND'!C49</f>
        <v>Electric Vehicle Factor</v>
      </c>
      <c r="D49" s="23"/>
      <c r="E49" s="136"/>
      <c r="G49" s="92"/>
      <c r="H49" s="91">
        <v>1.0300000000000001E-3</v>
      </c>
      <c r="I49" s="53">
        <f t="shared" si="19"/>
        <v>1.0300000000000001E-3</v>
      </c>
      <c r="J49" s="53">
        <f t="shared" si="20"/>
        <v>1.0300000000000001E-3</v>
      </c>
      <c r="K49" s="37"/>
      <c r="L49" s="53">
        <f t="shared" si="21"/>
        <v>1.0300000000000001E-3</v>
      </c>
      <c r="M49" s="54">
        <f t="shared" si="22"/>
        <v>0</v>
      </c>
      <c r="N49" s="54"/>
      <c r="O49" s="54">
        <f t="shared" si="23"/>
        <v>0</v>
      </c>
      <c r="P49" s="54">
        <f t="shared" si="24"/>
        <v>0</v>
      </c>
      <c r="Q49" s="89" t="str">
        <f>+'BOS G1ND'!Q49</f>
        <v>EVF</v>
      </c>
      <c r="R49" s="136"/>
      <c r="S49" s="136"/>
      <c r="T49" s="136"/>
      <c r="U49" s="136"/>
      <c r="V49" s="136"/>
    </row>
    <row r="50" spans="1:22" ht="14" x14ac:dyDescent="0.3">
      <c r="A50" s="67">
        <f t="shared" si="0"/>
        <v>50</v>
      </c>
      <c r="B50" s="31"/>
      <c r="C50" s="44" t="str">
        <f>+'BOS G1ND'!C50</f>
        <v>Transition</v>
      </c>
      <c r="D50" s="23"/>
      <c r="E50" s="136"/>
      <c r="G50" s="92"/>
      <c r="H50" s="91">
        <v>-3.6999999999999999E-4</v>
      </c>
      <c r="I50" s="53">
        <f t="shared" si="19"/>
        <v>-3.6999999999999999E-4</v>
      </c>
      <c r="J50" s="53">
        <f t="shared" si="20"/>
        <v>-3.6999999999999999E-4</v>
      </c>
      <c r="K50" s="37"/>
      <c r="L50" s="53">
        <f t="shared" si="21"/>
        <v>-3.6999999999999999E-4</v>
      </c>
      <c r="M50" s="54">
        <f t="shared" si="22"/>
        <v>0</v>
      </c>
      <c r="N50" s="54"/>
      <c r="O50" s="54">
        <f t="shared" si="23"/>
        <v>0</v>
      </c>
      <c r="P50" s="54">
        <f t="shared" si="24"/>
        <v>0</v>
      </c>
      <c r="Q50" s="89" t="str">
        <f>+'BOS G1ND'!Q50</f>
        <v>TRNSN</v>
      </c>
      <c r="R50" s="136"/>
      <c r="S50" s="136"/>
      <c r="T50" s="136"/>
      <c r="U50" s="136"/>
      <c r="V50" s="136"/>
    </row>
    <row r="51" spans="1:22" ht="14" x14ac:dyDescent="0.3">
      <c r="A51" s="67">
        <f t="shared" si="0"/>
        <v>51</v>
      </c>
      <c r="B51" s="31"/>
      <c r="C51" s="44" t="s">
        <v>152</v>
      </c>
      <c r="D51" s="23"/>
      <c r="E51" s="136"/>
      <c r="G51" s="92"/>
      <c r="H51" s="91">
        <v>3.7940000000000002E-2</v>
      </c>
      <c r="I51" s="53">
        <f t="shared" si="19"/>
        <v>3.7940000000000002E-2</v>
      </c>
      <c r="J51" s="53">
        <f t="shared" si="20"/>
        <v>3.7940000000000002E-2</v>
      </c>
      <c r="K51" s="37"/>
      <c r="L51" s="53">
        <f t="shared" si="21"/>
        <v>3.7940000000000002E-2</v>
      </c>
      <c r="M51" s="54">
        <f t="shared" si="22"/>
        <v>0</v>
      </c>
      <c r="N51" s="54"/>
      <c r="O51" s="54">
        <f t="shared" si="23"/>
        <v>0</v>
      </c>
      <c r="P51" s="54">
        <f t="shared" si="24"/>
        <v>0</v>
      </c>
      <c r="Q51" s="51" t="s">
        <v>104</v>
      </c>
      <c r="R51" s="136"/>
      <c r="S51" s="136"/>
      <c r="T51" s="136"/>
      <c r="U51" s="136"/>
      <c r="V51" s="136"/>
    </row>
    <row r="52" spans="1:22" ht="14" x14ac:dyDescent="0.3">
      <c r="A52" s="67">
        <f t="shared" si="0"/>
        <v>52</v>
      </c>
      <c r="B52" s="31"/>
      <c r="C52" s="44" t="s">
        <v>105</v>
      </c>
      <c r="D52" s="23"/>
      <c r="E52" s="136"/>
      <c r="G52" s="92"/>
      <c r="H52" s="91">
        <v>-8.1300000000000001E-3</v>
      </c>
      <c r="I52" s="53">
        <v>1.038E-2</v>
      </c>
      <c r="J52" s="53">
        <v>1.333E-2</v>
      </c>
      <c r="K52" s="53"/>
      <c r="L52" s="53">
        <v>1.3129999999999999E-2</v>
      </c>
      <c r="M52" s="54">
        <f t="shared" si="22"/>
        <v>1.8509999999999999E-2</v>
      </c>
      <c r="N52" s="54"/>
      <c r="O52" s="54">
        <f t="shared" si="23"/>
        <v>2.9499999999999995E-3</v>
      </c>
      <c r="P52" s="54">
        <f t="shared" si="24"/>
        <v>-2.0000000000000052E-4</v>
      </c>
      <c r="Q52" s="89" t="s">
        <v>106</v>
      </c>
      <c r="R52" s="136"/>
      <c r="S52" s="136"/>
      <c r="T52" s="136"/>
      <c r="U52" s="136"/>
      <c r="V52" s="136"/>
    </row>
    <row r="53" spans="1:22" ht="14" x14ac:dyDescent="0.3">
      <c r="A53" s="67">
        <f t="shared" si="0"/>
        <v>53</v>
      </c>
      <c r="B53" s="31"/>
      <c r="C53" s="44" t="s">
        <v>107</v>
      </c>
      <c r="D53" s="23"/>
      <c r="E53" s="136"/>
      <c r="G53" s="92"/>
      <c r="H53" s="91">
        <v>2.5000000000000001E-3</v>
      </c>
      <c r="I53" s="53">
        <f t="shared" si="19"/>
        <v>2.5000000000000001E-3</v>
      </c>
      <c r="J53" s="53">
        <f t="shared" si="20"/>
        <v>2.5000000000000001E-3</v>
      </c>
      <c r="K53" s="37"/>
      <c r="L53" s="53">
        <f t="shared" si="21"/>
        <v>2.5000000000000001E-3</v>
      </c>
      <c r="M53" s="54">
        <f t="shared" si="22"/>
        <v>0</v>
      </c>
      <c r="N53" s="54"/>
      <c r="O53" s="54">
        <f t="shared" si="23"/>
        <v>0</v>
      </c>
      <c r="P53" s="54">
        <f t="shared" si="24"/>
        <v>0</v>
      </c>
      <c r="Q53" s="89" t="s">
        <v>108</v>
      </c>
      <c r="R53" s="136"/>
      <c r="S53" s="136"/>
      <c r="T53" s="136"/>
      <c r="U53" s="136"/>
      <c r="V53" s="136"/>
    </row>
    <row r="54" spans="1:22" ht="14" x14ac:dyDescent="0.3">
      <c r="A54" s="67">
        <f t="shared" si="0"/>
        <v>54</v>
      </c>
      <c r="B54" s="31"/>
      <c r="C54" s="44" t="s">
        <v>109</v>
      </c>
      <c r="E54" s="136"/>
      <c r="G54" s="92"/>
      <c r="H54" s="91">
        <v>5.0000000000000001E-4</v>
      </c>
      <c r="I54" s="53">
        <f t="shared" si="19"/>
        <v>5.0000000000000001E-4</v>
      </c>
      <c r="J54" s="53">
        <f t="shared" si="20"/>
        <v>5.0000000000000001E-4</v>
      </c>
      <c r="K54" s="37"/>
      <c r="L54" s="53">
        <f t="shared" si="21"/>
        <v>5.0000000000000001E-4</v>
      </c>
      <c r="M54" s="54">
        <f t="shared" si="22"/>
        <v>0</v>
      </c>
      <c r="N54" s="54"/>
      <c r="O54" s="54">
        <f t="shared" si="23"/>
        <v>0</v>
      </c>
      <c r="P54" s="54">
        <f t="shared" si="24"/>
        <v>0</v>
      </c>
      <c r="Q54" s="89" t="s">
        <v>110</v>
      </c>
      <c r="R54" s="136"/>
      <c r="S54" s="136"/>
      <c r="T54" s="136"/>
      <c r="U54" s="136"/>
      <c r="V54" s="136"/>
    </row>
    <row r="55" spans="1:22" ht="14" x14ac:dyDescent="0.3">
      <c r="A55" s="67">
        <f t="shared" si="0"/>
        <v>55</v>
      </c>
      <c r="B55" s="31"/>
      <c r="C55" s="44" t="s">
        <v>111</v>
      </c>
      <c r="E55" s="136"/>
      <c r="G55" s="92"/>
      <c r="H55" s="91">
        <v>0.15676999999999999</v>
      </c>
      <c r="I55" s="53">
        <f t="shared" si="19"/>
        <v>0.15676999999999999</v>
      </c>
      <c r="J55" s="53">
        <f t="shared" si="20"/>
        <v>0.15676999999999999</v>
      </c>
      <c r="K55" s="37"/>
      <c r="L55" s="53">
        <f t="shared" si="21"/>
        <v>0.15676999999999999</v>
      </c>
      <c r="M55" s="54">
        <f t="shared" si="22"/>
        <v>0</v>
      </c>
      <c r="N55" s="54"/>
      <c r="O55" s="54">
        <f t="shared" si="23"/>
        <v>0</v>
      </c>
      <c r="P55" s="54">
        <f t="shared" si="24"/>
        <v>0</v>
      </c>
      <c r="Q55" s="89" t="s">
        <v>112</v>
      </c>
      <c r="R55" s="136"/>
      <c r="S55" s="136"/>
      <c r="T55" s="136"/>
      <c r="U55" s="136"/>
      <c r="V55" s="136"/>
    </row>
    <row r="56" spans="1:22" ht="14" x14ac:dyDescent="0.3">
      <c r="A56" s="67"/>
      <c r="B56" s="31"/>
      <c r="C56" s="44"/>
      <c r="E56" s="136"/>
      <c r="G56" s="92"/>
      <c r="H56" s="92"/>
      <c r="I56" s="92"/>
      <c r="J56" s="94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</row>
    <row r="57" spans="1:22" ht="14" x14ac:dyDescent="0.3">
      <c r="A57" s="67"/>
      <c r="B57" s="31"/>
      <c r="C57" s="44" t="s">
        <v>58</v>
      </c>
      <c r="E57" s="136"/>
      <c r="G57" s="142"/>
      <c r="H57" s="88">
        <f>+H28</f>
        <v>15</v>
      </c>
      <c r="I57" s="88">
        <f>+I28</f>
        <v>15</v>
      </c>
      <c r="J57" s="88">
        <f>+J28</f>
        <v>15</v>
      </c>
      <c r="K57" s="136"/>
      <c r="L57" s="88">
        <f>+L28</f>
        <v>15</v>
      </c>
      <c r="M57" s="136"/>
      <c r="N57" s="136"/>
      <c r="O57" s="136"/>
      <c r="P57" s="136"/>
      <c r="Q57" s="136"/>
      <c r="R57" s="136"/>
      <c r="S57" s="136"/>
      <c r="T57" s="136"/>
      <c r="U57" s="136"/>
      <c r="V57" s="136"/>
    </row>
    <row r="58" spans="1:22" ht="14" x14ac:dyDescent="0.3">
      <c r="A58" s="67"/>
      <c r="B58" s="31"/>
      <c r="C58" s="44" t="s">
        <v>122</v>
      </c>
      <c r="E58" s="136"/>
      <c r="G58" s="136"/>
      <c r="H58" s="92">
        <f>SUM(H29:H54)</f>
        <v>9.178E-2</v>
      </c>
      <c r="I58" s="92">
        <f>SUM(I29:I54)</f>
        <v>0.11029</v>
      </c>
      <c r="J58" s="92">
        <f>SUM(J29:J54)</f>
        <v>0.11323999999999999</v>
      </c>
      <c r="K58" s="136"/>
      <c r="L58" s="92">
        <f>SUM(L29:L54)</f>
        <v>0.11304</v>
      </c>
      <c r="M58" s="136"/>
      <c r="N58" s="136"/>
      <c r="O58" s="136"/>
      <c r="P58" s="136"/>
      <c r="Q58" s="136"/>
      <c r="R58" s="136"/>
      <c r="S58" s="136"/>
      <c r="T58" s="136"/>
      <c r="U58" s="136"/>
      <c r="V58" s="136"/>
    </row>
    <row r="59" spans="1:22" ht="14" x14ac:dyDescent="0.3">
      <c r="A59" s="67"/>
      <c r="B59" s="31"/>
      <c r="C59" s="44" t="s">
        <v>123</v>
      </c>
      <c r="E59" s="136"/>
      <c r="G59" s="136"/>
      <c r="H59" s="92">
        <f>+H55</f>
        <v>0.15676999999999999</v>
      </c>
      <c r="I59" s="92">
        <f>+I55</f>
        <v>0.15676999999999999</v>
      </c>
      <c r="J59" s="92">
        <f>+J55</f>
        <v>0.15676999999999999</v>
      </c>
      <c r="K59" s="136"/>
      <c r="L59" s="92">
        <f>+L55</f>
        <v>0.15676999999999999</v>
      </c>
      <c r="M59" s="136"/>
      <c r="N59" s="136"/>
      <c r="O59" s="136"/>
      <c r="P59" s="136"/>
      <c r="Q59" s="136"/>
      <c r="R59" s="136"/>
      <c r="S59" s="136"/>
      <c r="T59" s="136"/>
      <c r="U59" s="136"/>
      <c r="V59" s="136"/>
    </row>
    <row r="60" spans="1:22" ht="14" x14ac:dyDescent="0.3">
      <c r="A60" s="31"/>
      <c r="B60" s="31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</row>
    <row r="61" spans="1:22" ht="14" x14ac:dyDescent="0.3">
      <c r="A61" s="31"/>
      <c r="B61" s="31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</row>
    <row r="62" spans="1:22" ht="14" x14ac:dyDescent="0.3">
      <c r="A62" s="31"/>
      <c r="B62" s="31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</row>
    <row r="63" spans="1:22" ht="14" x14ac:dyDescent="0.3">
      <c r="A63" s="31"/>
      <c r="B63" s="31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</row>
    <row r="64" spans="1:22" ht="14" x14ac:dyDescent="0.3">
      <c r="A64" s="31"/>
      <c r="B64" s="31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</row>
    <row r="65" spans="1:22" ht="14" x14ac:dyDescent="0.3">
      <c r="A65" s="31"/>
      <c r="B65" s="31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</row>
    <row r="66" spans="1:22" ht="14" x14ac:dyDescent="0.3">
      <c r="A66" s="31"/>
      <c r="B66" s="31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</row>
    <row r="67" spans="1:22" ht="14" x14ac:dyDescent="0.3">
      <c r="A67" s="31"/>
      <c r="B67" s="31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</row>
    <row r="68" spans="1:22" ht="14" x14ac:dyDescent="0.3">
      <c r="A68" s="31"/>
      <c r="B68" s="31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</row>
    <row r="69" spans="1:22" ht="14" x14ac:dyDescent="0.3">
      <c r="A69" s="31"/>
      <c r="B69" s="31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</row>
    <row r="70" spans="1:22" ht="14" x14ac:dyDescent="0.3">
      <c r="A70" s="31"/>
      <c r="B70" s="31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</row>
    <row r="71" spans="1:22" ht="14" x14ac:dyDescent="0.3">
      <c r="A71" s="31"/>
      <c r="B71" s="31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</row>
    <row r="72" spans="1:22" ht="14" x14ac:dyDescent="0.3">
      <c r="A72" s="31"/>
      <c r="B72" s="31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</row>
    <row r="73" spans="1:22" ht="14" x14ac:dyDescent="0.3">
      <c r="A73" s="31"/>
      <c r="B73" s="31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</row>
    <row r="74" spans="1:22" ht="14" x14ac:dyDescent="0.3">
      <c r="A74" s="31"/>
      <c r="B74" s="31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</row>
    <row r="75" spans="1:22" ht="14" x14ac:dyDescent="0.3">
      <c r="A75" s="31"/>
      <c r="B75" s="31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</row>
    <row r="76" spans="1:22" ht="14" x14ac:dyDescent="0.3">
      <c r="A76" s="31"/>
      <c r="B76" s="31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</row>
    <row r="77" spans="1:22" ht="14" x14ac:dyDescent="0.3">
      <c r="A77" s="31"/>
      <c r="B77" s="31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</row>
    <row r="78" spans="1:22" ht="14" x14ac:dyDescent="0.3">
      <c r="A78" s="31"/>
      <c r="B78" s="31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</row>
    <row r="79" spans="1:22" ht="14" x14ac:dyDescent="0.3">
      <c r="A79" s="31"/>
      <c r="B79" s="31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</row>
    <row r="80" spans="1:22" ht="14" x14ac:dyDescent="0.3">
      <c r="A80" s="31"/>
      <c r="B80" s="31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</row>
    <row r="81" spans="1:22" ht="14" x14ac:dyDescent="0.3">
      <c r="A81" s="31"/>
      <c r="B81" s="31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</row>
    <row r="82" spans="1:22" ht="14" x14ac:dyDescent="0.3">
      <c r="A82" s="31"/>
      <c r="B82" s="31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</row>
    <row r="83" spans="1:22" ht="14" x14ac:dyDescent="0.3">
      <c r="A83" s="31"/>
      <c r="B83" s="31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</row>
    <row r="84" spans="1:22" ht="14" x14ac:dyDescent="0.3">
      <c r="A84" s="31"/>
      <c r="B84" s="31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</row>
    <row r="85" spans="1:22" ht="14" x14ac:dyDescent="0.3">
      <c r="A85" s="31"/>
      <c r="B85" s="31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</row>
    <row r="86" spans="1:22" ht="14" x14ac:dyDescent="0.3">
      <c r="A86" s="31"/>
      <c r="B86" s="31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</row>
    <row r="87" spans="1:22" ht="14" x14ac:dyDescent="0.3">
      <c r="A87" s="31"/>
      <c r="B87" s="31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</row>
    <row r="88" spans="1:22" ht="14" x14ac:dyDescent="0.3">
      <c r="A88" s="31"/>
      <c r="B88" s="31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</row>
    <row r="89" spans="1:22" ht="14" x14ac:dyDescent="0.3">
      <c r="A89" s="31"/>
      <c r="B89" s="31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</row>
    <row r="90" spans="1:22" ht="14" x14ac:dyDescent="0.3">
      <c r="A90" s="31"/>
      <c r="B90" s="31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</row>
    <row r="91" spans="1:22" ht="14" x14ac:dyDescent="0.3">
      <c r="A91" s="31"/>
      <c r="B91" s="31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</row>
    <row r="92" spans="1:22" ht="14" x14ac:dyDescent="0.3">
      <c r="A92" s="31"/>
      <c r="B92" s="31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</row>
    <row r="93" spans="1:22" ht="14" x14ac:dyDescent="0.3">
      <c r="A93" s="31"/>
      <c r="B93" s="31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</row>
    <row r="94" spans="1:22" ht="14" x14ac:dyDescent="0.3">
      <c r="A94" s="31"/>
      <c r="B94" s="31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</row>
    <row r="95" spans="1:22" ht="14" x14ac:dyDescent="0.3">
      <c r="A95" s="31"/>
      <c r="B95" s="31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</row>
    <row r="96" spans="1:22" ht="14" x14ac:dyDescent="0.3">
      <c r="A96" s="31"/>
      <c r="B96" s="31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</row>
    <row r="97" spans="1:22" ht="14" x14ac:dyDescent="0.3">
      <c r="A97" s="31"/>
      <c r="B97" s="31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</row>
    <row r="98" spans="1:22" ht="14" x14ac:dyDescent="0.3">
      <c r="A98" s="31"/>
      <c r="B98" s="31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</row>
    <row r="99" spans="1:22" ht="14" x14ac:dyDescent="0.3">
      <c r="A99" s="31"/>
      <c r="B99" s="31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</row>
    <row r="100" spans="1:22" ht="14" x14ac:dyDescent="0.3">
      <c r="A100" s="31"/>
      <c r="B100" s="31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</row>
    <row r="101" spans="1:22" ht="14" x14ac:dyDescent="0.3">
      <c r="A101" s="31"/>
      <c r="B101" s="31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</row>
    <row r="102" spans="1:22" ht="14" x14ac:dyDescent="0.3">
      <c r="A102" s="31"/>
      <c r="B102" s="31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</row>
    <row r="103" spans="1:22" ht="14" x14ac:dyDescent="0.3">
      <c r="A103" s="31"/>
      <c r="B103" s="31"/>
      <c r="C103" s="95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</row>
    <row r="104" spans="1:22" ht="14" x14ac:dyDescent="0.3">
      <c r="A104" s="31"/>
      <c r="B104" s="31"/>
      <c r="C104" s="145"/>
      <c r="D104" s="146"/>
      <c r="E104" s="146"/>
      <c r="F104" s="146"/>
      <c r="G104" s="147"/>
      <c r="H104" s="146"/>
      <c r="I104" s="146"/>
      <c r="J104" s="146"/>
      <c r="K104" s="147"/>
      <c r="L104" s="146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</row>
    <row r="105" spans="1:22" ht="14" x14ac:dyDescent="0.3">
      <c r="A105" s="31"/>
      <c r="B105" s="31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</row>
    <row r="106" spans="1:22" ht="14" x14ac:dyDescent="0.3">
      <c r="A106" s="31"/>
      <c r="B106" s="31"/>
      <c r="C106" s="145"/>
      <c r="D106" s="146"/>
      <c r="E106" s="146"/>
      <c r="F106" s="146"/>
      <c r="G106" s="147"/>
      <c r="H106" s="146"/>
      <c r="I106" s="146"/>
      <c r="J106" s="146"/>
      <c r="K106" s="147"/>
      <c r="L106" s="146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</row>
    <row r="107" spans="1:22" ht="14" x14ac:dyDescent="0.3">
      <c r="A107" s="31"/>
      <c r="B107" s="31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</row>
    <row r="108" spans="1:22" ht="14" x14ac:dyDescent="0.3">
      <c r="A108" s="31"/>
      <c r="B108" s="31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</row>
    <row r="109" spans="1:22" ht="14" x14ac:dyDescent="0.3">
      <c r="A109" s="31"/>
      <c r="B109" s="31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</row>
    <row r="110" spans="1:22" ht="14" x14ac:dyDescent="0.3">
      <c r="A110" s="31"/>
      <c r="B110" s="31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</row>
    <row r="111" spans="1:22" ht="14" x14ac:dyDescent="0.3">
      <c r="A111" s="31"/>
      <c r="B111" s="31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</row>
    <row r="112" spans="1:22" ht="14" x14ac:dyDescent="0.3">
      <c r="A112" s="31"/>
      <c r="B112" s="31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</row>
    <row r="113" spans="1:22" ht="14" x14ac:dyDescent="0.3">
      <c r="A113" s="31"/>
      <c r="B113" s="31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</row>
    <row r="114" spans="1:22" ht="14" x14ac:dyDescent="0.3">
      <c r="A114" s="31"/>
      <c r="B114" s="31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</row>
    <row r="115" spans="1:22" ht="14" x14ac:dyDescent="0.3">
      <c r="A115" s="31"/>
      <c r="B115" s="31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</row>
    <row r="116" spans="1:22" ht="14" x14ac:dyDescent="0.3">
      <c r="A116" s="31"/>
      <c r="B116" s="31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</row>
    <row r="117" spans="1:22" ht="14" x14ac:dyDescent="0.3">
      <c r="A117" s="31"/>
      <c r="B117" s="31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</row>
    <row r="118" spans="1:22" ht="14" x14ac:dyDescent="0.3">
      <c r="A118" s="31"/>
      <c r="B118" s="31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</row>
    <row r="119" spans="1:22" ht="14" x14ac:dyDescent="0.3">
      <c r="A119" s="31"/>
      <c r="B119" s="31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</row>
    <row r="120" spans="1:22" ht="14" x14ac:dyDescent="0.3">
      <c r="A120" s="31"/>
      <c r="B120" s="31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</row>
    <row r="121" spans="1:22" ht="14" x14ac:dyDescent="0.3">
      <c r="A121" s="31"/>
      <c r="B121" s="31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</row>
    <row r="122" spans="1:22" ht="14" x14ac:dyDescent="0.3">
      <c r="A122" s="31"/>
      <c r="B122" s="31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</row>
    <row r="123" spans="1:22" ht="14" x14ac:dyDescent="0.3">
      <c r="A123" s="31"/>
      <c r="B123" s="31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</row>
    <row r="124" spans="1:22" ht="14" x14ac:dyDescent="0.3">
      <c r="A124" s="31"/>
      <c r="B124" s="31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</row>
    <row r="125" spans="1:22" ht="14" x14ac:dyDescent="0.3">
      <c r="A125" s="31"/>
      <c r="B125" s="31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</row>
    <row r="126" spans="1:22" ht="14" x14ac:dyDescent="0.3"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</row>
    <row r="127" spans="1:22" ht="14" x14ac:dyDescent="0.3"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</row>
    <row r="128" spans="1:22" ht="14" x14ac:dyDescent="0.3"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</row>
    <row r="129" spans="5:22" ht="14" x14ac:dyDescent="0.3"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</row>
    <row r="130" spans="5:22" ht="14" x14ac:dyDescent="0.3"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</row>
    <row r="131" spans="5:22" ht="14" x14ac:dyDescent="0.3"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</row>
    <row r="132" spans="5:22" ht="14" x14ac:dyDescent="0.3"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</row>
    <row r="133" spans="5:22" ht="14" x14ac:dyDescent="0.3"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</row>
    <row r="134" spans="5:22" ht="14" x14ac:dyDescent="0.3"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</row>
  </sheetData>
  <mergeCells count="7">
    <mergeCell ref="Z11:AA11"/>
    <mergeCell ref="D11:F11"/>
    <mergeCell ref="H11:J11"/>
    <mergeCell ref="L11:M11"/>
    <mergeCell ref="O11:Q11"/>
    <mergeCell ref="S11:T11"/>
    <mergeCell ref="V11:X11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0117C-9BAB-42A6-9C79-009EA17192C9}">
  <sheetPr>
    <tabColor theme="3" tint="0.59999389629810485"/>
    <pageSetUpPr fitToPage="1"/>
  </sheetPr>
  <dimension ref="A1:AA65"/>
  <sheetViews>
    <sheetView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ColWidth="8.7265625" defaultRowHeight="14" x14ac:dyDescent="0.3"/>
  <cols>
    <col min="1" max="1" width="4" style="23" bestFit="1" customWidth="1"/>
    <col min="2" max="2" width="5.54296875" style="23" bestFit="1" customWidth="1"/>
    <col min="3" max="6" width="12" style="23" customWidth="1"/>
    <col min="7" max="7" width="2" style="23" customWidth="1"/>
    <col min="8" max="10" width="12" style="23" customWidth="1"/>
    <col min="11" max="11" width="2" style="23" customWidth="1"/>
    <col min="12" max="13" width="12" style="23" customWidth="1"/>
    <col min="14" max="14" width="2" style="23" customWidth="1"/>
    <col min="15" max="17" width="12" style="23" customWidth="1"/>
    <col min="18" max="18" width="2" style="23" customWidth="1"/>
    <col min="19" max="20" width="12" style="23" customWidth="1"/>
    <col min="21" max="21" width="2" style="23" customWidth="1"/>
    <col min="22" max="24" width="12" style="23" customWidth="1"/>
    <col min="25" max="25" width="2" style="23" customWidth="1"/>
    <col min="26" max="27" width="12" style="23" customWidth="1"/>
    <col min="28" max="16384" width="8.7265625" style="23"/>
  </cols>
  <sheetData>
    <row r="1" spans="1:27" x14ac:dyDescent="0.3">
      <c r="A1" s="22">
        <v>1</v>
      </c>
    </row>
    <row r="2" spans="1:27" x14ac:dyDescent="0.3">
      <c r="A2" s="22">
        <f>A1+1</f>
        <v>2</v>
      </c>
    </row>
    <row r="3" spans="1:27" x14ac:dyDescent="0.3">
      <c r="A3" s="22">
        <f t="shared" ref="A3:A57" si="0">A2+1</f>
        <v>3</v>
      </c>
      <c r="B3" s="24" t="s">
        <v>40</v>
      </c>
    </row>
    <row r="4" spans="1:27" x14ac:dyDescent="0.3">
      <c r="A4" s="22">
        <f t="shared" si="0"/>
        <v>4</v>
      </c>
      <c r="B4" s="24" t="s">
        <v>41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/>
    </row>
    <row r="5" spans="1:27" x14ac:dyDescent="0.3">
      <c r="A5" s="22">
        <f t="shared" si="0"/>
        <v>5</v>
      </c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6"/>
    </row>
    <row r="6" spans="1:27" x14ac:dyDescent="0.3">
      <c r="A6" s="22">
        <f t="shared" si="0"/>
        <v>6</v>
      </c>
      <c r="B6" s="24" t="s">
        <v>42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/>
    </row>
    <row r="7" spans="1:27" x14ac:dyDescent="0.3">
      <c r="A7" s="22">
        <f t="shared" si="0"/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6"/>
    </row>
    <row r="8" spans="1:27" x14ac:dyDescent="0.3">
      <c r="A8" s="22">
        <f t="shared" si="0"/>
        <v>8</v>
      </c>
      <c r="B8" s="27"/>
      <c r="C8" s="28"/>
      <c r="D8" s="28"/>
      <c r="E8" s="28"/>
      <c r="F8" s="29"/>
      <c r="G8" s="29"/>
    </row>
    <row r="9" spans="1:27" x14ac:dyDescent="0.3">
      <c r="A9" s="22">
        <f t="shared" si="0"/>
        <v>9</v>
      </c>
      <c r="B9" s="27"/>
      <c r="C9" s="28"/>
      <c r="D9" s="28"/>
      <c r="E9" s="28"/>
      <c r="F9" s="30"/>
      <c r="G9" s="30"/>
    </row>
    <row r="10" spans="1:27" x14ac:dyDescent="0.3">
      <c r="A10" s="22">
        <f t="shared" si="0"/>
        <v>10</v>
      </c>
      <c r="B10" s="31"/>
      <c r="C10" s="27" t="s">
        <v>2</v>
      </c>
      <c r="D10" s="32" t="s">
        <v>43</v>
      </c>
      <c r="E10" s="32"/>
      <c r="F10" s="32"/>
      <c r="G10" s="33"/>
      <c r="H10" s="32" t="s">
        <v>44</v>
      </c>
      <c r="I10" s="32"/>
      <c r="J10" s="32"/>
      <c r="L10" s="32" t="s">
        <v>3</v>
      </c>
      <c r="M10" s="32"/>
      <c r="N10" s="27"/>
      <c r="O10" s="32" t="s">
        <v>45</v>
      </c>
      <c r="P10" s="32"/>
      <c r="Q10" s="32"/>
      <c r="R10" s="33"/>
      <c r="S10" s="32" t="s">
        <v>4</v>
      </c>
      <c r="T10" s="32"/>
      <c r="V10" s="32" t="s">
        <v>46</v>
      </c>
      <c r="W10" s="32"/>
      <c r="X10" s="32"/>
      <c r="Y10" s="33"/>
      <c r="Z10" s="32" t="s">
        <v>5</v>
      </c>
      <c r="AA10" s="32"/>
    </row>
    <row r="11" spans="1:27" x14ac:dyDescent="0.3">
      <c r="A11" s="22">
        <f t="shared" si="0"/>
        <v>11</v>
      </c>
      <c r="B11" s="31"/>
      <c r="C11" s="34" t="s">
        <v>47</v>
      </c>
      <c r="D11" s="34" t="s">
        <v>48</v>
      </c>
      <c r="E11" s="34" t="s">
        <v>49</v>
      </c>
      <c r="F11" s="34" t="s">
        <v>50</v>
      </c>
      <c r="G11" s="34"/>
      <c r="H11" s="34" t="s">
        <v>48</v>
      </c>
      <c r="I11" s="34" t="s">
        <v>49</v>
      </c>
      <c r="J11" s="34" t="s">
        <v>50</v>
      </c>
      <c r="L11" s="34" t="s">
        <v>51</v>
      </c>
      <c r="M11" s="34" t="s">
        <v>14</v>
      </c>
      <c r="N11" s="34"/>
      <c r="O11" s="34" t="s">
        <v>48</v>
      </c>
      <c r="P11" s="34" t="s">
        <v>49</v>
      </c>
      <c r="Q11" s="34" t="s">
        <v>50</v>
      </c>
      <c r="R11" s="34"/>
      <c r="S11" s="34" t="s">
        <v>51</v>
      </c>
      <c r="T11" s="34" t="s">
        <v>14</v>
      </c>
      <c r="V11" s="34" t="s">
        <v>48</v>
      </c>
      <c r="W11" s="34" t="s">
        <v>49</v>
      </c>
      <c r="X11" s="34" t="s">
        <v>50</v>
      </c>
      <c r="Y11" s="34"/>
      <c r="Z11" s="34" t="s">
        <v>51</v>
      </c>
      <c r="AA11" s="34" t="s">
        <v>14</v>
      </c>
    </row>
    <row r="12" spans="1:27" x14ac:dyDescent="0.3">
      <c r="A12" s="22">
        <f t="shared" si="0"/>
        <v>12</v>
      </c>
      <c r="B12" s="31"/>
      <c r="C12" s="35">
        <v>100</v>
      </c>
      <c r="D12" s="36">
        <f t="shared" ref="D12:D25" si="1">ROUND(SUM($H$31:$H$56)*C12,2)+H$30</f>
        <v>27.56</v>
      </c>
      <c r="E12" s="36">
        <f t="shared" ref="E12:E25" si="2">ROUND($H$57*C12,2)</f>
        <v>15.77</v>
      </c>
      <c r="F12" s="36">
        <f>SUM(D12:E12)</f>
        <v>43.33</v>
      </c>
      <c r="G12" s="36"/>
      <c r="H12" s="36">
        <f t="shared" ref="H12:H25" si="3">ROUND(SUM($I$31:$I$56)*C12,2)+I$30</f>
        <v>28.42</v>
      </c>
      <c r="I12" s="36">
        <f t="shared" ref="I12:I25" si="4">ROUND($I$57*C12,2)</f>
        <v>15.77</v>
      </c>
      <c r="J12" s="36">
        <f>SUM(H12:I12)</f>
        <v>44.19</v>
      </c>
      <c r="K12" s="37"/>
      <c r="L12" s="36">
        <f>+J12-F12</f>
        <v>0.85999999999999943</v>
      </c>
      <c r="M12" s="38">
        <f>+L12/F12</f>
        <v>1.9847680590814664E-2</v>
      </c>
      <c r="N12" s="38"/>
      <c r="O12" s="36">
        <f t="shared" ref="O12:O25" si="5">ROUND(SUM($J$31:$J$56)*C12,2)+J$30</f>
        <v>28.65</v>
      </c>
      <c r="P12" s="36">
        <f t="shared" ref="P12:P25" si="6">ROUND($J$57*C12,2)</f>
        <v>15.77</v>
      </c>
      <c r="Q12" s="36">
        <f>SUM(O12:P12)</f>
        <v>44.42</v>
      </c>
      <c r="R12" s="36"/>
      <c r="S12" s="36">
        <f>+Q12-J12</f>
        <v>0.23000000000000398</v>
      </c>
      <c r="T12" s="38">
        <f>+S12/J12</f>
        <v>5.2047974654900204E-3</v>
      </c>
      <c r="V12" s="36">
        <f t="shared" ref="V12:V25" si="7">ROUND(SUM($L$31:$L$56)*C12,2)+L$30</f>
        <v>29.1</v>
      </c>
      <c r="W12" s="36">
        <f t="shared" ref="W12:W25" si="8">ROUND($L$57*C12,2)</f>
        <v>15.77</v>
      </c>
      <c r="X12" s="36">
        <f>SUM(V12:W12)</f>
        <v>44.870000000000005</v>
      </c>
      <c r="Y12" s="36"/>
      <c r="Z12" s="36">
        <f>X12-Q12</f>
        <v>0.45000000000000284</v>
      </c>
      <c r="AA12" s="38">
        <f>+Z12/Q12</f>
        <v>1.0130571814498038E-2</v>
      </c>
    </row>
    <row r="13" spans="1:27" x14ac:dyDescent="0.3">
      <c r="A13" s="22">
        <f t="shared" si="0"/>
        <v>13</v>
      </c>
      <c r="B13" s="31"/>
      <c r="C13" s="35">
        <v>200</v>
      </c>
      <c r="D13" s="36">
        <f t="shared" si="1"/>
        <v>45.12</v>
      </c>
      <c r="E13" s="36">
        <f t="shared" si="2"/>
        <v>31.54</v>
      </c>
      <c r="F13" s="36">
        <f t="shared" ref="F13:F25" si="9">SUM(D13:E13)</f>
        <v>76.66</v>
      </c>
      <c r="G13" s="36"/>
      <c r="H13" s="36">
        <f t="shared" si="3"/>
        <v>46.84</v>
      </c>
      <c r="I13" s="36">
        <f t="shared" si="4"/>
        <v>31.54</v>
      </c>
      <c r="J13" s="36">
        <f t="shared" ref="J13:J25" si="10">SUM(H13:I13)</f>
        <v>78.38</v>
      </c>
      <c r="K13" s="37"/>
      <c r="L13" s="36">
        <f t="shared" ref="L13:L25" si="11">+J13-F13</f>
        <v>1.7199999999999989</v>
      </c>
      <c r="M13" s="38">
        <f t="shared" ref="M13:M25" si="12">+L13/F13</f>
        <v>2.2436733629011205E-2</v>
      </c>
      <c r="N13" s="38"/>
      <c r="O13" s="36">
        <f t="shared" si="5"/>
        <v>47.3</v>
      </c>
      <c r="P13" s="36">
        <f t="shared" si="6"/>
        <v>31.54</v>
      </c>
      <c r="Q13" s="36">
        <f t="shared" ref="Q13:Q25" si="13">SUM(O13:P13)</f>
        <v>78.84</v>
      </c>
      <c r="R13" s="36"/>
      <c r="S13" s="36">
        <f>+Q13-J13</f>
        <v>0.46000000000000796</v>
      </c>
      <c r="T13" s="38">
        <f t="shared" ref="T13:T25" si="14">+S13/J13</f>
        <v>5.8688440928809388E-3</v>
      </c>
      <c r="V13" s="36">
        <f t="shared" si="7"/>
        <v>48.2</v>
      </c>
      <c r="W13" s="36">
        <f t="shared" si="8"/>
        <v>31.54</v>
      </c>
      <c r="X13" s="36">
        <f t="shared" ref="X13:X25" si="15">SUM(V13:W13)</f>
        <v>79.740000000000009</v>
      </c>
      <c r="Y13" s="36"/>
      <c r="Z13" s="36">
        <f t="shared" ref="Z13:Z25" si="16">X13-Q13</f>
        <v>0.90000000000000568</v>
      </c>
      <c r="AA13" s="38">
        <f t="shared" ref="AA13:AA25" si="17">+Z13/Q13</f>
        <v>1.1415525114155323E-2</v>
      </c>
    </row>
    <row r="14" spans="1:27" x14ac:dyDescent="0.3">
      <c r="A14" s="22">
        <f t="shared" si="0"/>
        <v>14</v>
      </c>
      <c r="B14" s="31"/>
      <c r="C14" s="35">
        <v>300</v>
      </c>
      <c r="D14" s="36">
        <f t="shared" si="1"/>
        <v>62.69</v>
      </c>
      <c r="E14" s="36">
        <f t="shared" si="2"/>
        <v>47.32</v>
      </c>
      <c r="F14" s="36">
        <f t="shared" si="9"/>
        <v>110.00999999999999</v>
      </c>
      <c r="G14" s="36"/>
      <c r="H14" s="36">
        <f t="shared" si="3"/>
        <v>65.259999999999991</v>
      </c>
      <c r="I14" s="36">
        <f t="shared" si="4"/>
        <v>47.32</v>
      </c>
      <c r="J14" s="36">
        <f t="shared" si="10"/>
        <v>112.57999999999998</v>
      </c>
      <c r="K14" s="37"/>
      <c r="L14" s="36">
        <f t="shared" si="11"/>
        <v>2.5699999999999932</v>
      </c>
      <c r="M14" s="38">
        <f t="shared" si="12"/>
        <v>2.3361512589764506E-2</v>
      </c>
      <c r="N14" s="38"/>
      <c r="O14" s="36">
        <f t="shared" si="5"/>
        <v>65.95</v>
      </c>
      <c r="P14" s="36">
        <f t="shared" si="6"/>
        <v>47.32</v>
      </c>
      <c r="Q14" s="36">
        <f t="shared" si="13"/>
        <v>113.27000000000001</v>
      </c>
      <c r="R14" s="36"/>
      <c r="S14" s="36">
        <f t="shared" ref="S14:S25" si="18">+Q14-J14</f>
        <v>0.69000000000002615</v>
      </c>
      <c r="T14" s="38">
        <f t="shared" si="14"/>
        <v>6.1289749511460852E-3</v>
      </c>
      <c r="V14" s="36">
        <f t="shared" si="7"/>
        <v>67.289999999999992</v>
      </c>
      <c r="W14" s="36">
        <f t="shared" si="8"/>
        <v>47.32</v>
      </c>
      <c r="X14" s="36">
        <f t="shared" si="15"/>
        <v>114.60999999999999</v>
      </c>
      <c r="Y14" s="36"/>
      <c r="Z14" s="36">
        <f t="shared" si="16"/>
        <v>1.339999999999975</v>
      </c>
      <c r="AA14" s="38">
        <f t="shared" si="17"/>
        <v>1.1830140372560916E-2</v>
      </c>
    </row>
    <row r="15" spans="1:27" x14ac:dyDescent="0.3">
      <c r="A15" s="22">
        <f t="shared" si="0"/>
        <v>15</v>
      </c>
      <c r="B15" s="31"/>
      <c r="C15" s="35">
        <v>400</v>
      </c>
      <c r="D15" s="36">
        <f t="shared" si="1"/>
        <v>80.25</v>
      </c>
      <c r="E15" s="36">
        <f t="shared" si="2"/>
        <v>63.09</v>
      </c>
      <c r="F15" s="36">
        <f t="shared" si="9"/>
        <v>143.34</v>
      </c>
      <c r="G15" s="36"/>
      <c r="H15" s="36">
        <f t="shared" si="3"/>
        <v>83.68</v>
      </c>
      <c r="I15" s="36">
        <f t="shared" si="4"/>
        <v>63.09</v>
      </c>
      <c r="J15" s="36">
        <f t="shared" si="10"/>
        <v>146.77000000000001</v>
      </c>
      <c r="K15" s="37"/>
      <c r="L15" s="36">
        <f>+J15-F15</f>
        <v>3.4300000000000068</v>
      </c>
      <c r="M15" s="38">
        <f t="shared" si="12"/>
        <v>2.392911957583373E-2</v>
      </c>
      <c r="N15" s="38"/>
      <c r="O15" s="36">
        <f t="shared" si="5"/>
        <v>84.6</v>
      </c>
      <c r="P15" s="36">
        <f t="shared" si="6"/>
        <v>63.09</v>
      </c>
      <c r="Q15" s="36">
        <f t="shared" si="13"/>
        <v>147.69</v>
      </c>
      <c r="R15" s="36"/>
      <c r="S15" s="36">
        <f t="shared" si="18"/>
        <v>0.91999999999998749</v>
      </c>
      <c r="T15" s="38">
        <f t="shared" si="14"/>
        <v>6.2683109627307172E-3</v>
      </c>
      <c r="V15" s="36">
        <f t="shared" si="7"/>
        <v>86.39</v>
      </c>
      <c r="W15" s="36">
        <f t="shared" si="8"/>
        <v>63.09</v>
      </c>
      <c r="X15" s="36">
        <f t="shared" si="15"/>
        <v>149.48000000000002</v>
      </c>
      <c r="Y15" s="36"/>
      <c r="Z15" s="36">
        <f t="shared" si="16"/>
        <v>1.7900000000000205</v>
      </c>
      <c r="AA15" s="38">
        <f t="shared" si="17"/>
        <v>1.2119981041370577E-2</v>
      </c>
    </row>
    <row r="16" spans="1:27" x14ac:dyDescent="0.3">
      <c r="A16" s="22">
        <f t="shared" si="0"/>
        <v>16</v>
      </c>
      <c r="B16" s="31"/>
      <c r="C16" s="35">
        <v>500</v>
      </c>
      <c r="D16" s="36">
        <f t="shared" si="1"/>
        <v>97.81</v>
      </c>
      <c r="E16" s="36">
        <f t="shared" si="2"/>
        <v>78.86</v>
      </c>
      <c r="F16" s="36">
        <f t="shared" si="9"/>
        <v>176.67000000000002</v>
      </c>
      <c r="G16" s="36"/>
      <c r="H16" s="36">
        <f t="shared" si="3"/>
        <v>102.1</v>
      </c>
      <c r="I16" s="36">
        <f t="shared" si="4"/>
        <v>78.86</v>
      </c>
      <c r="J16" s="36">
        <f t="shared" si="10"/>
        <v>180.95999999999998</v>
      </c>
      <c r="K16" s="37"/>
      <c r="L16" s="36">
        <f t="shared" si="11"/>
        <v>4.2899999999999636</v>
      </c>
      <c r="M16" s="38">
        <f t="shared" si="12"/>
        <v>2.4282560706401557E-2</v>
      </c>
      <c r="N16" s="38"/>
      <c r="O16" s="36">
        <f t="shared" si="5"/>
        <v>103.25</v>
      </c>
      <c r="P16" s="36">
        <f t="shared" si="6"/>
        <v>78.86</v>
      </c>
      <c r="Q16" s="36">
        <f t="shared" si="13"/>
        <v>182.11</v>
      </c>
      <c r="R16" s="36"/>
      <c r="S16" s="36">
        <f>+Q16-J16</f>
        <v>1.1500000000000341</v>
      </c>
      <c r="T16" s="38">
        <f t="shared" si="14"/>
        <v>6.3549955791336998E-3</v>
      </c>
      <c r="V16" s="36">
        <f t="shared" si="7"/>
        <v>105.49</v>
      </c>
      <c r="W16" s="36">
        <f t="shared" si="8"/>
        <v>78.86</v>
      </c>
      <c r="X16" s="36">
        <f t="shared" si="15"/>
        <v>184.35</v>
      </c>
      <c r="Y16" s="36"/>
      <c r="Z16" s="36">
        <f t="shared" si="16"/>
        <v>2.2399999999999807</v>
      </c>
      <c r="AA16" s="38">
        <f t="shared" si="17"/>
        <v>1.2300258085772228E-2</v>
      </c>
    </row>
    <row r="17" spans="1:27" x14ac:dyDescent="0.3">
      <c r="A17" s="22">
        <f t="shared" si="0"/>
        <v>17</v>
      </c>
      <c r="B17" s="31"/>
      <c r="C17" s="35">
        <v>600</v>
      </c>
      <c r="D17" s="36">
        <f t="shared" si="1"/>
        <v>115.37</v>
      </c>
      <c r="E17" s="36">
        <f t="shared" si="2"/>
        <v>94.63</v>
      </c>
      <c r="F17" s="36">
        <f t="shared" si="9"/>
        <v>210</v>
      </c>
      <c r="G17" s="36"/>
      <c r="H17" s="36">
        <f t="shared" si="3"/>
        <v>120.51</v>
      </c>
      <c r="I17" s="36">
        <f t="shared" si="4"/>
        <v>94.63</v>
      </c>
      <c r="J17" s="36">
        <f t="shared" si="10"/>
        <v>215.14</v>
      </c>
      <c r="K17" s="37"/>
      <c r="L17" s="36">
        <f t="shared" si="11"/>
        <v>5.1399999999999864</v>
      </c>
      <c r="M17" s="38">
        <f t="shared" si="12"/>
        <v>2.4476190476190412E-2</v>
      </c>
      <c r="N17" s="38"/>
      <c r="O17" s="36">
        <f t="shared" si="5"/>
        <v>121.9</v>
      </c>
      <c r="P17" s="36">
        <f t="shared" si="6"/>
        <v>94.63</v>
      </c>
      <c r="Q17" s="36">
        <f t="shared" si="13"/>
        <v>216.53</v>
      </c>
      <c r="R17" s="36"/>
      <c r="S17" s="36">
        <f t="shared" si="18"/>
        <v>1.3900000000000148</v>
      </c>
      <c r="T17" s="38">
        <f t="shared" si="14"/>
        <v>6.4609091754207256E-3</v>
      </c>
      <c r="V17" s="36">
        <f t="shared" si="7"/>
        <v>124.59</v>
      </c>
      <c r="W17" s="36">
        <f t="shared" si="8"/>
        <v>94.63</v>
      </c>
      <c r="X17" s="36">
        <f t="shared" si="15"/>
        <v>219.22</v>
      </c>
      <c r="Y17" s="36"/>
      <c r="Z17" s="36">
        <f t="shared" si="16"/>
        <v>2.6899999999999977</v>
      </c>
      <c r="AA17" s="38">
        <f t="shared" si="17"/>
        <v>1.2423220800812811E-2</v>
      </c>
    </row>
    <row r="18" spans="1:27" x14ac:dyDescent="0.3">
      <c r="A18" s="22">
        <f t="shared" si="0"/>
        <v>18</v>
      </c>
      <c r="B18" s="31"/>
      <c r="C18" s="35">
        <v>700</v>
      </c>
      <c r="D18" s="36">
        <f t="shared" si="1"/>
        <v>132.93</v>
      </c>
      <c r="E18" s="36">
        <f t="shared" si="2"/>
        <v>110.4</v>
      </c>
      <c r="F18" s="36">
        <f t="shared" si="9"/>
        <v>243.33</v>
      </c>
      <c r="G18" s="36"/>
      <c r="H18" s="36">
        <f t="shared" si="3"/>
        <v>138.93</v>
      </c>
      <c r="I18" s="36">
        <f t="shared" si="4"/>
        <v>110.4</v>
      </c>
      <c r="J18" s="36">
        <f t="shared" si="10"/>
        <v>249.33</v>
      </c>
      <c r="K18" s="37"/>
      <c r="L18" s="36">
        <f t="shared" si="11"/>
        <v>6</v>
      </c>
      <c r="M18" s="38">
        <f t="shared" si="12"/>
        <v>2.4657872025644186E-2</v>
      </c>
      <c r="N18" s="38"/>
      <c r="O18" s="36">
        <f t="shared" si="5"/>
        <v>140.55000000000001</v>
      </c>
      <c r="P18" s="36">
        <f t="shared" si="6"/>
        <v>110.4</v>
      </c>
      <c r="Q18" s="36">
        <f t="shared" si="13"/>
        <v>250.95000000000002</v>
      </c>
      <c r="R18" s="36"/>
      <c r="S18" s="36">
        <f t="shared" si="18"/>
        <v>1.6200000000000045</v>
      </c>
      <c r="T18" s="38">
        <f>+S18/J18</f>
        <v>6.4974130670196308E-3</v>
      </c>
      <c r="V18" s="36">
        <f t="shared" si="7"/>
        <v>143.69</v>
      </c>
      <c r="W18" s="36">
        <f t="shared" si="8"/>
        <v>110.4</v>
      </c>
      <c r="X18" s="36">
        <f t="shared" si="15"/>
        <v>254.09</v>
      </c>
      <c r="Y18" s="36"/>
      <c r="Z18" s="36">
        <f>X18-Q18</f>
        <v>3.1399999999999864</v>
      </c>
      <c r="AA18" s="38">
        <f>+Z18/Q18</f>
        <v>1.2512452679816641E-2</v>
      </c>
    </row>
    <row r="19" spans="1:27" x14ac:dyDescent="0.3">
      <c r="A19" s="22">
        <f t="shared" si="0"/>
        <v>19</v>
      </c>
      <c r="B19" s="31"/>
      <c r="C19" s="35">
        <v>800</v>
      </c>
      <c r="D19" s="36">
        <f t="shared" si="1"/>
        <v>150.5</v>
      </c>
      <c r="E19" s="36">
        <f t="shared" si="2"/>
        <v>126.18</v>
      </c>
      <c r="F19" s="36">
        <f t="shared" si="9"/>
        <v>276.68</v>
      </c>
      <c r="G19" s="36"/>
      <c r="H19" s="36">
        <f t="shared" si="3"/>
        <v>157.35</v>
      </c>
      <c r="I19" s="36">
        <f t="shared" si="4"/>
        <v>126.18</v>
      </c>
      <c r="J19" s="36">
        <f t="shared" si="10"/>
        <v>283.52999999999997</v>
      </c>
      <c r="K19" s="37"/>
      <c r="L19" s="36">
        <f t="shared" si="11"/>
        <v>6.8499999999999659</v>
      </c>
      <c r="M19" s="38">
        <f t="shared" si="12"/>
        <v>2.4757842995518163E-2</v>
      </c>
      <c r="N19" s="38"/>
      <c r="O19" s="36">
        <f t="shared" si="5"/>
        <v>159.19999999999999</v>
      </c>
      <c r="P19" s="36">
        <f t="shared" si="6"/>
        <v>126.18</v>
      </c>
      <c r="Q19" s="36">
        <f t="shared" si="13"/>
        <v>285.38</v>
      </c>
      <c r="R19" s="36"/>
      <c r="S19" s="36">
        <f t="shared" si="18"/>
        <v>1.8500000000000227</v>
      </c>
      <c r="T19" s="38">
        <f t="shared" si="14"/>
        <v>6.5248827284591507E-3</v>
      </c>
      <c r="V19" s="36">
        <f t="shared" si="7"/>
        <v>162.78</v>
      </c>
      <c r="W19" s="36">
        <f t="shared" si="8"/>
        <v>126.18</v>
      </c>
      <c r="X19" s="36">
        <f t="shared" si="15"/>
        <v>288.96000000000004</v>
      </c>
      <c r="Y19" s="36"/>
      <c r="Z19" s="36">
        <f t="shared" si="16"/>
        <v>3.5800000000000409</v>
      </c>
      <c r="AA19" s="38">
        <f t="shared" si="17"/>
        <v>1.2544677272408862E-2</v>
      </c>
    </row>
    <row r="20" spans="1:27" x14ac:dyDescent="0.3">
      <c r="A20" s="22">
        <f t="shared" si="0"/>
        <v>20</v>
      </c>
      <c r="B20" s="31"/>
      <c r="C20" s="35">
        <v>900</v>
      </c>
      <c r="D20" s="36">
        <f t="shared" si="1"/>
        <v>168.06</v>
      </c>
      <c r="E20" s="36">
        <f t="shared" si="2"/>
        <v>141.94999999999999</v>
      </c>
      <c r="F20" s="36">
        <f t="shared" si="9"/>
        <v>310.01</v>
      </c>
      <c r="G20" s="36"/>
      <c r="H20" s="36">
        <f t="shared" si="3"/>
        <v>175.77</v>
      </c>
      <c r="I20" s="36">
        <f t="shared" si="4"/>
        <v>141.94999999999999</v>
      </c>
      <c r="J20" s="36">
        <f t="shared" si="10"/>
        <v>317.72000000000003</v>
      </c>
      <c r="K20" s="37"/>
      <c r="L20" s="36">
        <f t="shared" si="11"/>
        <v>7.7100000000000364</v>
      </c>
      <c r="M20" s="38">
        <f t="shared" si="12"/>
        <v>2.4870165478533067E-2</v>
      </c>
      <c r="N20" s="38"/>
      <c r="O20" s="36">
        <f t="shared" si="5"/>
        <v>177.85</v>
      </c>
      <c r="P20" s="36">
        <f t="shared" si="6"/>
        <v>141.94999999999999</v>
      </c>
      <c r="Q20" s="36">
        <f t="shared" si="13"/>
        <v>319.79999999999995</v>
      </c>
      <c r="R20" s="36"/>
      <c r="S20" s="36">
        <f t="shared" si="18"/>
        <v>2.0799999999999272</v>
      </c>
      <c r="T20" s="38">
        <f t="shared" si="14"/>
        <v>6.5466448445169554E-3</v>
      </c>
      <c r="V20" s="36">
        <f t="shared" si="7"/>
        <v>181.88</v>
      </c>
      <c r="W20" s="36">
        <f t="shared" si="8"/>
        <v>141.94999999999999</v>
      </c>
      <c r="X20" s="36">
        <f t="shared" si="15"/>
        <v>323.83</v>
      </c>
      <c r="Y20" s="36"/>
      <c r="Z20" s="36">
        <f t="shared" si="16"/>
        <v>4.0300000000000296</v>
      </c>
      <c r="AA20" s="38">
        <f t="shared" si="17"/>
        <v>1.2601626016260256E-2</v>
      </c>
    </row>
    <row r="21" spans="1:27" x14ac:dyDescent="0.3">
      <c r="A21" s="22">
        <f t="shared" si="0"/>
        <v>21</v>
      </c>
      <c r="B21" s="31"/>
      <c r="C21" s="35">
        <v>1000</v>
      </c>
      <c r="D21" s="36">
        <f t="shared" si="1"/>
        <v>185.62</v>
      </c>
      <c r="E21" s="36">
        <f t="shared" si="2"/>
        <v>157.72</v>
      </c>
      <c r="F21" s="36">
        <f t="shared" si="9"/>
        <v>343.34000000000003</v>
      </c>
      <c r="G21" s="36"/>
      <c r="H21" s="36">
        <f t="shared" si="3"/>
        <v>194.19</v>
      </c>
      <c r="I21" s="36">
        <f t="shared" si="4"/>
        <v>157.72</v>
      </c>
      <c r="J21" s="36">
        <f t="shared" si="10"/>
        <v>351.90999999999997</v>
      </c>
      <c r="K21" s="37"/>
      <c r="L21" s="36">
        <f t="shared" si="11"/>
        <v>8.5699999999999363</v>
      </c>
      <c r="M21" s="38">
        <f t="shared" si="12"/>
        <v>2.4960680375138159E-2</v>
      </c>
      <c r="N21" s="38"/>
      <c r="O21" s="36">
        <f t="shared" si="5"/>
        <v>196.5</v>
      </c>
      <c r="P21" s="36">
        <f t="shared" si="6"/>
        <v>157.72</v>
      </c>
      <c r="Q21" s="36">
        <f t="shared" si="13"/>
        <v>354.22</v>
      </c>
      <c r="R21" s="36"/>
      <c r="S21" s="36">
        <f t="shared" si="18"/>
        <v>2.3100000000000591</v>
      </c>
      <c r="T21" s="38">
        <f t="shared" si="14"/>
        <v>6.5641783410532789E-3</v>
      </c>
      <c r="V21" s="36">
        <f t="shared" si="7"/>
        <v>200.98</v>
      </c>
      <c r="W21" s="36">
        <f t="shared" si="8"/>
        <v>157.72</v>
      </c>
      <c r="X21" s="36">
        <f t="shared" si="15"/>
        <v>358.7</v>
      </c>
      <c r="Y21" s="36"/>
      <c r="Z21" s="36">
        <f t="shared" si="16"/>
        <v>4.4799999999999613</v>
      </c>
      <c r="AA21" s="38">
        <f t="shared" si="17"/>
        <v>1.2647507198915818E-2</v>
      </c>
    </row>
    <row r="22" spans="1:27" x14ac:dyDescent="0.3">
      <c r="A22" s="22">
        <f t="shared" si="0"/>
        <v>22</v>
      </c>
      <c r="B22" s="31"/>
      <c r="C22" s="35">
        <v>1250</v>
      </c>
      <c r="D22" s="36">
        <f t="shared" si="1"/>
        <v>229.53</v>
      </c>
      <c r="E22" s="36">
        <f t="shared" si="2"/>
        <v>197.15</v>
      </c>
      <c r="F22" s="36">
        <f t="shared" si="9"/>
        <v>426.68</v>
      </c>
      <c r="G22" s="36"/>
      <c r="H22" s="36">
        <f t="shared" si="3"/>
        <v>240.24</v>
      </c>
      <c r="I22" s="36">
        <f t="shared" si="4"/>
        <v>197.15</v>
      </c>
      <c r="J22" s="36">
        <f t="shared" si="10"/>
        <v>437.39</v>
      </c>
      <c r="K22" s="37"/>
      <c r="L22" s="36">
        <f t="shared" si="11"/>
        <v>10.70999999999998</v>
      </c>
      <c r="M22" s="38">
        <f t="shared" si="12"/>
        <v>2.5100778100684305E-2</v>
      </c>
      <c r="N22" s="38"/>
      <c r="O22" s="36">
        <f t="shared" si="5"/>
        <v>243.13</v>
      </c>
      <c r="P22" s="36">
        <f t="shared" si="6"/>
        <v>197.15</v>
      </c>
      <c r="Q22" s="36">
        <f t="shared" si="13"/>
        <v>440.28</v>
      </c>
      <c r="R22" s="36"/>
      <c r="S22" s="36">
        <f t="shared" si="18"/>
        <v>2.8899999999999864</v>
      </c>
      <c r="T22" s="38">
        <f t="shared" si="14"/>
        <v>6.6073755687143885E-3</v>
      </c>
      <c r="V22" s="36">
        <f t="shared" si="7"/>
        <v>248.73</v>
      </c>
      <c r="W22" s="36">
        <f t="shared" si="8"/>
        <v>197.15</v>
      </c>
      <c r="X22" s="36">
        <f t="shared" si="15"/>
        <v>445.88</v>
      </c>
      <c r="Y22" s="36"/>
      <c r="Z22" s="36">
        <f t="shared" si="16"/>
        <v>5.6000000000000227</v>
      </c>
      <c r="AA22" s="38">
        <f t="shared" si="17"/>
        <v>1.271917870446085E-2</v>
      </c>
    </row>
    <row r="23" spans="1:27" x14ac:dyDescent="0.3">
      <c r="A23" s="22">
        <f t="shared" si="0"/>
        <v>23</v>
      </c>
      <c r="B23" s="31"/>
      <c r="C23" s="35">
        <v>1500</v>
      </c>
      <c r="D23" s="36">
        <f t="shared" si="1"/>
        <v>273.43</v>
      </c>
      <c r="E23" s="36">
        <f t="shared" si="2"/>
        <v>236.58</v>
      </c>
      <c r="F23" s="36">
        <f t="shared" si="9"/>
        <v>510.01</v>
      </c>
      <c r="G23" s="36"/>
      <c r="H23" s="36">
        <f t="shared" si="3"/>
        <v>286.29000000000002</v>
      </c>
      <c r="I23" s="36">
        <f t="shared" si="4"/>
        <v>236.58</v>
      </c>
      <c r="J23" s="36">
        <f t="shared" si="10"/>
        <v>522.87</v>
      </c>
      <c r="K23" s="37"/>
      <c r="L23" s="36">
        <f t="shared" si="11"/>
        <v>12.860000000000014</v>
      </c>
      <c r="M23" s="38">
        <f t="shared" si="12"/>
        <v>2.5215191858983185E-2</v>
      </c>
      <c r="N23" s="38"/>
      <c r="O23" s="36">
        <f t="shared" si="5"/>
        <v>289.75</v>
      </c>
      <c r="P23" s="36">
        <f t="shared" si="6"/>
        <v>236.58</v>
      </c>
      <c r="Q23" s="36">
        <f t="shared" si="13"/>
        <v>526.33000000000004</v>
      </c>
      <c r="R23" s="36"/>
      <c r="S23" s="36">
        <f t="shared" si="18"/>
        <v>3.4600000000000364</v>
      </c>
      <c r="T23" s="38">
        <f t="shared" si="14"/>
        <v>6.6173236177253167E-3</v>
      </c>
      <c r="V23" s="36">
        <f t="shared" si="7"/>
        <v>296.47000000000003</v>
      </c>
      <c r="W23" s="36">
        <f t="shared" si="8"/>
        <v>236.58</v>
      </c>
      <c r="X23" s="36">
        <f t="shared" si="15"/>
        <v>533.05000000000007</v>
      </c>
      <c r="Y23" s="36"/>
      <c r="Z23" s="36">
        <f t="shared" si="16"/>
        <v>6.7200000000000273</v>
      </c>
      <c r="AA23" s="38">
        <f t="shared" si="17"/>
        <v>1.2767655273307671E-2</v>
      </c>
    </row>
    <row r="24" spans="1:27" x14ac:dyDescent="0.3">
      <c r="A24" s="22">
        <f t="shared" si="0"/>
        <v>24</v>
      </c>
      <c r="B24" s="31"/>
      <c r="C24" s="35">
        <v>2000</v>
      </c>
      <c r="D24" s="36">
        <f t="shared" si="1"/>
        <v>361.24</v>
      </c>
      <c r="E24" s="36">
        <f t="shared" si="2"/>
        <v>315.44</v>
      </c>
      <c r="F24" s="36">
        <f t="shared" si="9"/>
        <v>676.68000000000006</v>
      </c>
      <c r="G24" s="36"/>
      <c r="H24" s="36">
        <f t="shared" si="3"/>
        <v>378.38</v>
      </c>
      <c r="I24" s="36">
        <f t="shared" si="4"/>
        <v>315.44</v>
      </c>
      <c r="J24" s="36">
        <f t="shared" si="10"/>
        <v>693.81999999999994</v>
      </c>
      <c r="K24" s="37"/>
      <c r="L24" s="36">
        <f t="shared" si="11"/>
        <v>17.139999999999873</v>
      </c>
      <c r="M24" s="38">
        <f t="shared" si="12"/>
        <v>2.5329550156646969E-2</v>
      </c>
      <c r="N24" s="38"/>
      <c r="O24" s="36">
        <f t="shared" si="5"/>
        <v>383</v>
      </c>
      <c r="P24" s="36">
        <f t="shared" si="6"/>
        <v>315.44</v>
      </c>
      <c r="Q24" s="36">
        <f t="shared" si="13"/>
        <v>698.44</v>
      </c>
      <c r="R24" s="36"/>
      <c r="S24" s="36">
        <f t="shared" si="18"/>
        <v>4.6200000000001182</v>
      </c>
      <c r="T24" s="38">
        <f t="shared" si="14"/>
        <v>6.6587875817937202E-3</v>
      </c>
      <c r="V24" s="36">
        <f t="shared" si="7"/>
        <v>391.96</v>
      </c>
      <c r="W24" s="36">
        <f t="shared" si="8"/>
        <v>315.44</v>
      </c>
      <c r="X24" s="36">
        <f t="shared" si="15"/>
        <v>707.4</v>
      </c>
      <c r="Y24" s="36"/>
      <c r="Z24" s="36">
        <f t="shared" si="16"/>
        <v>8.9599999999999227</v>
      </c>
      <c r="AA24" s="38">
        <f t="shared" si="17"/>
        <v>1.2828589427867708E-2</v>
      </c>
    </row>
    <row r="25" spans="1:27" x14ac:dyDescent="0.3">
      <c r="A25" s="22">
        <f t="shared" si="0"/>
        <v>25</v>
      </c>
      <c r="B25" s="31" t="s">
        <v>52</v>
      </c>
      <c r="C25" s="35">
        <v>530</v>
      </c>
      <c r="D25" s="36">
        <f t="shared" si="1"/>
        <v>103.08</v>
      </c>
      <c r="E25" s="36">
        <f t="shared" si="2"/>
        <v>83.59</v>
      </c>
      <c r="F25" s="36">
        <f t="shared" si="9"/>
        <v>186.67000000000002</v>
      </c>
      <c r="G25" s="36"/>
      <c r="H25" s="36">
        <f t="shared" si="3"/>
        <v>107.62</v>
      </c>
      <c r="I25" s="36">
        <f t="shared" si="4"/>
        <v>83.59</v>
      </c>
      <c r="J25" s="36">
        <f t="shared" si="10"/>
        <v>191.21</v>
      </c>
      <c r="K25" s="37"/>
      <c r="L25" s="36">
        <f t="shared" si="11"/>
        <v>4.539999999999992</v>
      </c>
      <c r="M25" s="38">
        <f t="shared" si="12"/>
        <v>2.4320994267959455E-2</v>
      </c>
      <c r="N25" s="38"/>
      <c r="O25" s="36">
        <f t="shared" si="5"/>
        <v>108.85</v>
      </c>
      <c r="P25" s="36">
        <f t="shared" si="6"/>
        <v>83.59</v>
      </c>
      <c r="Q25" s="36">
        <f t="shared" si="13"/>
        <v>192.44</v>
      </c>
      <c r="R25" s="36"/>
      <c r="S25" s="36">
        <f t="shared" si="18"/>
        <v>1.2299999999999898</v>
      </c>
      <c r="T25" s="38">
        <f t="shared" si="14"/>
        <v>6.4327179540818458E-3</v>
      </c>
      <c r="V25" s="36">
        <f t="shared" si="7"/>
        <v>111.22</v>
      </c>
      <c r="W25" s="36">
        <f t="shared" si="8"/>
        <v>83.59</v>
      </c>
      <c r="X25" s="36">
        <f t="shared" si="15"/>
        <v>194.81</v>
      </c>
      <c r="Y25" s="36"/>
      <c r="Z25" s="36">
        <f t="shared" si="16"/>
        <v>2.3700000000000045</v>
      </c>
      <c r="AA25" s="38">
        <f t="shared" si="17"/>
        <v>1.2315526917480796E-2</v>
      </c>
    </row>
    <row r="26" spans="1:27" x14ac:dyDescent="0.3">
      <c r="A26" s="22">
        <f t="shared" si="0"/>
        <v>26</v>
      </c>
      <c r="B26" s="31"/>
      <c r="C26" s="35"/>
      <c r="D26" s="36"/>
      <c r="E26" s="36"/>
      <c r="F26" s="36"/>
      <c r="G26" s="36"/>
      <c r="H26" s="36"/>
      <c r="I26" s="36"/>
      <c r="J26" s="36"/>
      <c r="K26" s="37"/>
      <c r="L26" s="36"/>
      <c r="M26" s="39"/>
      <c r="N26" s="39"/>
      <c r="O26" s="39"/>
      <c r="P26" s="39"/>
      <c r="Q26" s="39"/>
      <c r="R26" s="39"/>
      <c r="T26" s="40"/>
    </row>
    <row r="27" spans="1:27" x14ac:dyDescent="0.3">
      <c r="A27" s="22">
        <f t="shared" si="0"/>
        <v>27</v>
      </c>
      <c r="B27" s="31"/>
      <c r="C27" s="41"/>
      <c r="D27" s="42"/>
      <c r="E27" s="42"/>
      <c r="F27" s="42"/>
      <c r="G27" s="42"/>
      <c r="H27" s="42"/>
      <c r="I27" s="42"/>
      <c r="J27" s="42"/>
      <c r="K27" s="43"/>
      <c r="L27" s="43"/>
      <c r="T27" s="40"/>
    </row>
    <row r="28" spans="1:27" x14ac:dyDescent="0.3">
      <c r="A28" s="22">
        <f t="shared" si="0"/>
        <v>28</v>
      </c>
      <c r="B28" s="31"/>
      <c r="C28" s="44" t="s">
        <v>53</v>
      </c>
      <c r="D28" s="37"/>
      <c r="E28" s="37"/>
      <c r="H28" s="45">
        <v>2024</v>
      </c>
      <c r="I28" s="45">
        <v>2025</v>
      </c>
      <c r="J28" s="45">
        <v>2026</v>
      </c>
      <c r="L28" s="45">
        <v>2027</v>
      </c>
      <c r="M28" s="46" t="s">
        <v>54</v>
      </c>
      <c r="O28" s="22" t="s">
        <v>55</v>
      </c>
      <c r="P28" s="22" t="s">
        <v>56</v>
      </c>
      <c r="Q28" s="22"/>
    </row>
    <row r="29" spans="1:27" x14ac:dyDescent="0.3">
      <c r="A29" s="22">
        <f t="shared" si="0"/>
        <v>29</v>
      </c>
      <c r="B29" s="31"/>
      <c r="C29" s="44" t="s">
        <v>53</v>
      </c>
      <c r="D29" s="37"/>
      <c r="E29" s="37"/>
      <c r="H29" s="47" t="s">
        <v>57</v>
      </c>
      <c r="I29" s="47" t="s">
        <v>57</v>
      </c>
      <c r="J29" s="47" t="s">
        <v>57</v>
      </c>
      <c r="L29" s="47" t="s">
        <v>57</v>
      </c>
      <c r="M29" s="48" t="s">
        <v>51</v>
      </c>
      <c r="O29" s="48" t="s">
        <v>51</v>
      </c>
      <c r="P29" s="48" t="s">
        <v>51</v>
      </c>
      <c r="Q29" s="22"/>
    </row>
    <row r="30" spans="1:27" x14ac:dyDescent="0.3">
      <c r="A30" s="22">
        <f t="shared" si="0"/>
        <v>30</v>
      </c>
      <c r="B30" s="31"/>
      <c r="C30" s="28" t="s">
        <v>58</v>
      </c>
      <c r="D30" s="37"/>
      <c r="E30" s="37"/>
      <c r="H30" s="49">
        <v>10</v>
      </c>
      <c r="I30" s="49">
        <f t="shared" ref="I30:I57" si="19">+H30</f>
        <v>10</v>
      </c>
      <c r="J30" s="49">
        <f t="shared" ref="J30:J57" si="20">H30</f>
        <v>10</v>
      </c>
      <c r="L30" s="49">
        <f t="shared" ref="L30:L57" si="21">H30</f>
        <v>10</v>
      </c>
      <c r="M30" s="50">
        <f t="shared" ref="M30:M57" si="22">+I30-H30</f>
        <v>0</v>
      </c>
      <c r="O30" s="50">
        <f t="shared" ref="O30:O57" si="23">+J30-I30</f>
        <v>0</v>
      </c>
      <c r="P30" s="50">
        <f>+L30-J30</f>
        <v>0</v>
      </c>
      <c r="Q30" s="51" t="s">
        <v>59</v>
      </c>
    </row>
    <row r="31" spans="1:27" x14ac:dyDescent="0.3">
      <c r="A31" s="22">
        <f t="shared" si="0"/>
        <v>31</v>
      </c>
      <c r="B31" s="31"/>
      <c r="C31" s="52" t="s">
        <v>60</v>
      </c>
      <c r="D31" s="37"/>
      <c r="E31" s="37"/>
      <c r="H31" s="53">
        <v>5.9089999999999997E-2</v>
      </c>
      <c r="I31" s="53">
        <f t="shared" si="19"/>
        <v>5.9089999999999997E-2</v>
      </c>
      <c r="J31" s="53">
        <f t="shared" si="20"/>
        <v>5.9089999999999997E-2</v>
      </c>
      <c r="L31" s="53">
        <f t="shared" si="21"/>
        <v>5.9089999999999997E-2</v>
      </c>
      <c r="M31" s="54">
        <f t="shared" si="22"/>
        <v>0</v>
      </c>
      <c r="O31" s="54">
        <f t="shared" si="23"/>
        <v>0</v>
      </c>
      <c r="P31" s="54">
        <f t="shared" ref="P31:P57" si="24">+L31-J31</f>
        <v>0</v>
      </c>
      <c r="Q31" s="51" t="s">
        <v>59</v>
      </c>
    </row>
    <row r="32" spans="1:27" x14ac:dyDescent="0.3">
      <c r="A32" s="22">
        <f t="shared" si="0"/>
        <v>32</v>
      </c>
      <c r="B32" s="31"/>
      <c r="C32" s="52" t="s">
        <v>61</v>
      </c>
      <c r="D32" s="37"/>
      <c r="E32" s="37"/>
      <c r="H32" s="53">
        <v>1.01E-3</v>
      </c>
      <c r="I32" s="53">
        <f t="shared" si="19"/>
        <v>1.01E-3</v>
      </c>
      <c r="J32" s="53">
        <f t="shared" si="20"/>
        <v>1.01E-3</v>
      </c>
      <c r="L32" s="53">
        <f t="shared" si="21"/>
        <v>1.01E-3</v>
      </c>
      <c r="M32" s="54">
        <f t="shared" si="22"/>
        <v>0</v>
      </c>
      <c r="O32" s="54">
        <f t="shared" si="23"/>
        <v>0</v>
      </c>
      <c r="P32" s="54">
        <f t="shared" si="24"/>
        <v>0</v>
      </c>
      <c r="Q32" s="51" t="s">
        <v>62</v>
      </c>
    </row>
    <row r="33" spans="1:17" x14ac:dyDescent="0.3">
      <c r="A33" s="22">
        <f t="shared" si="0"/>
        <v>33</v>
      </c>
      <c r="B33" s="31"/>
      <c r="C33" s="52" t="s">
        <v>63</v>
      </c>
      <c r="D33" s="37"/>
      <c r="E33" s="37"/>
      <c r="H33" s="53">
        <v>6.0000000000000002E-5</v>
      </c>
      <c r="I33" s="53">
        <f t="shared" si="19"/>
        <v>6.0000000000000002E-5</v>
      </c>
      <c r="J33" s="53">
        <f t="shared" si="20"/>
        <v>6.0000000000000002E-5</v>
      </c>
      <c r="L33" s="53">
        <f t="shared" si="21"/>
        <v>6.0000000000000002E-5</v>
      </c>
      <c r="M33" s="54">
        <f t="shared" si="22"/>
        <v>0</v>
      </c>
      <c r="O33" s="54">
        <f t="shared" si="23"/>
        <v>0</v>
      </c>
      <c r="P33" s="54">
        <f t="shared" si="24"/>
        <v>0</v>
      </c>
      <c r="Q33" s="51" t="s">
        <v>64</v>
      </c>
    </row>
    <row r="34" spans="1:17" x14ac:dyDescent="0.3">
      <c r="A34" s="22">
        <f t="shared" si="0"/>
        <v>34</v>
      </c>
      <c r="B34" s="31"/>
      <c r="C34" s="52" t="s">
        <v>65</v>
      </c>
      <c r="D34" s="37"/>
      <c r="E34" s="37"/>
      <c r="H34" s="53">
        <v>8.0000000000000002E-3</v>
      </c>
      <c r="I34" s="53">
        <f t="shared" si="19"/>
        <v>8.0000000000000002E-3</v>
      </c>
      <c r="J34" s="53">
        <f t="shared" si="20"/>
        <v>8.0000000000000002E-3</v>
      </c>
      <c r="L34" s="53">
        <f t="shared" si="21"/>
        <v>8.0000000000000002E-3</v>
      </c>
      <c r="M34" s="54">
        <f t="shared" si="22"/>
        <v>0</v>
      </c>
      <c r="O34" s="54">
        <f t="shared" si="23"/>
        <v>0</v>
      </c>
      <c r="P34" s="54">
        <f t="shared" si="24"/>
        <v>0</v>
      </c>
      <c r="Q34" s="51" t="s">
        <v>66</v>
      </c>
    </row>
    <row r="35" spans="1:17" x14ac:dyDescent="0.3">
      <c r="A35" s="22">
        <f t="shared" si="0"/>
        <v>35</v>
      </c>
      <c r="B35" s="31"/>
      <c r="C35" s="52" t="s">
        <v>67</v>
      </c>
      <c r="D35" s="37"/>
      <c r="E35" s="37"/>
      <c r="H35" s="53">
        <v>8.1600000000000006E-3</v>
      </c>
      <c r="I35" s="53">
        <f t="shared" si="19"/>
        <v>8.1600000000000006E-3</v>
      </c>
      <c r="J35" s="53">
        <f t="shared" si="20"/>
        <v>8.1600000000000006E-3</v>
      </c>
      <c r="L35" s="53">
        <f t="shared" si="21"/>
        <v>8.1600000000000006E-3</v>
      </c>
      <c r="M35" s="54">
        <f t="shared" si="22"/>
        <v>0</v>
      </c>
      <c r="O35" s="54">
        <f t="shared" si="23"/>
        <v>0</v>
      </c>
      <c r="P35" s="54">
        <f t="shared" si="24"/>
        <v>0</v>
      </c>
      <c r="Q35" s="51" t="s">
        <v>68</v>
      </c>
    </row>
    <row r="36" spans="1:17" x14ac:dyDescent="0.3">
      <c r="A36" s="22">
        <f t="shared" si="0"/>
        <v>36</v>
      </c>
      <c r="B36" s="31"/>
      <c r="C36" s="52" t="s">
        <v>69</v>
      </c>
      <c r="D36" s="37"/>
      <c r="E36" s="37"/>
      <c r="H36" s="53">
        <v>8.5999999999999998E-4</v>
      </c>
      <c r="I36" s="53">
        <f t="shared" si="19"/>
        <v>8.5999999999999998E-4</v>
      </c>
      <c r="J36" s="53">
        <f t="shared" si="20"/>
        <v>8.5999999999999998E-4</v>
      </c>
      <c r="L36" s="53">
        <f t="shared" si="21"/>
        <v>8.5999999999999998E-4</v>
      </c>
      <c r="M36" s="54">
        <f t="shared" si="22"/>
        <v>0</v>
      </c>
      <c r="O36" s="54">
        <f t="shared" si="23"/>
        <v>0</v>
      </c>
      <c r="P36" s="54">
        <f t="shared" si="24"/>
        <v>0</v>
      </c>
      <c r="Q36" s="51" t="s">
        <v>70</v>
      </c>
    </row>
    <row r="37" spans="1:17" x14ac:dyDescent="0.3">
      <c r="A37" s="22">
        <f t="shared" si="0"/>
        <v>37</v>
      </c>
      <c r="B37" s="31"/>
      <c r="C37" s="52" t="s">
        <v>71</v>
      </c>
      <c r="D37" s="37"/>
      <c r="E37" s="37"/>
      <c r="H37" s="53">
        <v>1.6219999999999998E-2</v>
      </c>
      <c r="I37" s="53">
        <f t="shared" si="19"/>
        <v>1.6219999999999998E-2</v>
      </c>
      <c r="J37" s="53">
        <f t="shared" si="20"/>
        <v>1.6219999999999998E-2</v>
      </c>
      <c r="L37" s="53">
        <f t="shared" si="21"/>
        <v>1.6219999999999998E-2</v>
      </c>
      <c r="M37" s="54">
        <f t="shared" si="22"/>
        <v>0</v>
      </c>
      <c r="O37" s="54">
        <f t="shared" si="23"/>
        <v>0</v>
      </c>
      <c r="P37" s="54">
        <f t="shared" si="24"/>
        <v>0</v>
      </c>
      <c r="Q37" s="51" t="s">
        <v>72</v>
      </c>
    </row>
    <row r="38" spans="1:17" x14ac:dyDescent="0.3">
      <c r="A38" s="22">
        <f t="shared" si="0"/>
        <v>38</v>
      </c>
      <c r="B38" s="31"/>
      <c r="C38" s="52" t="s">
        <v>73</v>
      </c>
      <c r="D38" s="37"/>
      <c r="E38" s="37"/>
      <c r="H38" s="53">
        <v>-1.9300000000000001E-3</v>
      </c>
      <c r="I38" s="53">
        <f t="shared" si="19"/>
        <v>-1.9300000000000001E-3</v>
      </c>
      <c r="J38" s="53">
        <f t="shared" si="20"/>
        <v>-1.9300000000000001E-3</v>
      </c>
      <c r="L38" s="53">
        <f t="shared" si="21"/>
        <v>-1.9300000000000001E-3</v>
      </c>
      <c r="M38" s="54">
        <f t="shared" si="22"/>
        <v>0</v>
      </c>
      <c r="O38" s="54">
        <f t="shared" si="23"/>
        <v>0</v>
      </c>
      <c r="P38" s="54">
        <f t="shared" si="24"/>
        <v>0</v>
      </c>
      <c r="Q38" s="51" t="s">
        <v>74</v>
      </c>
    </row>
    <row r="39" spans="1:17" x14ac:dyDescent="0.3">
      <c r="A39" s="22">
        <f t="shared" si="0"/>
        <v>39</v>
      </c>
      <c r="B39" s="31"/>
      <c r="C39" s="52" t="s">
        <v>75</v>
      </c>
      <c r="D39" s="37"/>
      <c r="E39" s="37"/>
      <c r="H39" s="53">
        <v>5.0000000000000002E-5</v>
      </c>
      <c r="I39" s="53">
        <f t="shared" si="19"/>
        <v>5.0000000000000002E-5</v>
      </c>
      <c r="J39" s="53">
        <f t="shared" si="20"/>
        <v>5.0000000000000002E-5</v>
      </c>
      <c r="L39" s="53">
        <f t="shared" si="21"/>
        <v>5.0000000000000002E-5</v>
      </c>
      <c r="M39" s="54">
        <f t="shared" si="22"/>
        <v>0</v>
      </c>
      <c r="O39" s="54">
        <f t="shared" si="23"/>
        <v>0</v>
      </c>
      <c r="P39" s="54">
        <f t="shared" si="24"/>
        <v>0</v>
      </c>
      <c r="Q39" s="51" t="s">
        <v>76</v>
      </c>
    </row>
    <row r="40" spans="1:17" x14ac:dyDescent="0.3">
      <c r="A40" s="22">
        <f t="shared" si="0"/>
        <v>40</v>
      </c>
      <c r="B40" s="31"/>
      <c r="C40" s="52" t="s">
        <v>77</v>
      </c>
      <c r="D40" s="37"/>
      <c r="E40" s="37"/>
      <c r="H40" s="53">
        <v>6.6299999999999996E-3</v>
      </c>
      <c r="I40" s="53">
        <f t="shared" si="19"/>
        <v>6.6299999999999996E-3</v>
      </c>
      <c r="J40" s="53">
        <f t="shared" si="20"/>
        <v>6.6299999999999996E-3</v>
      </c>
      <c r="L40" s="53">
        <f t="shared" si="21"/>
        <v>6.6299999999999996E-3</v>
      </c>
      <c r="M40" s="54">
        <f t="shared" si="22"/>
        <v>0</v>
      </c>
      <c r="O40" s="54">
        <f t="shared" si="23"/>
        <v>0</v>
      </c>
      <c r="P40" s="54">
        <f t="shared" si="24"/>
        <v>0</v>
      </c>
      <c r="Q40" s="51" t="s">
        <v>78</v>
      </c>
    </row>
    <row r="41" spans="1:17" x14ac:dyDescent="0.3">
      <c r="A41" s="22">
        <f t="shared" si="0"/>
        <v>41</v>
      </c>
      <c r="B41" s="31"/>
      <c r="C41" s="52" t="s">
        <v>79</v>
      </c>
      <c r="D41" s="37"/>
      <c r="E41" s="37"/>
      <c r="H41" s="53">
        <v>0</v>
      </c>
      <c r="I41" s="53">
        <f t="shared" si="19"/>
        <v>0</v>
      </c>
      <c r="J41" s="53">
        <f t="shared" si="20"/>
        <v>0</v>
      </c>
      <c r="L41" s="53">
        <f t="shared" si="21"/>
        <v>0</v>
      </c>
      <c r="M41" s="54">
        <f t="shared" si="22"/>
        <v>0</v>
      </c>
      <c r="O41" s="54">
        <f t="shared" si="23"/>
        <v>0</v>
      </c>
      <c r="P41" s="54">
        <f t="shared" si="24"/>
        <v>0</v>
      </c>
      <c r="Q41" s="51" t="s">
        <v>80</v>
      </c>
    </row>
    <row r="42" spans="1:17" x14ac:dyDescent="0.3">
      <c r="A42" s="22">
        <f t="shared" si="0"/>
        <v>42</v>
      </c>
      <c r="B42" s="31"/>
      <c r="C42" s="52" t="s">
        <v>81</v>
      </c>
      <c r="D42" s="37"/>
      <c r="E42" s="37"/>
      <c r="H42" s="53">
        <v>-4.6000000000000001E-4</v>
      </c>
      <c r="I42" s="53">
        <f t="shared" si="19"/>
        <v>-4.6000000000000001E-4</v>
      </c>
      <c r="J42" s="53">
        <f t="shared" si="20"/>
        <v>-4.6000000000000001E-4</v>
      </c>
      <c r="L42" s="53">
        <f t="shared" si="21"/>
        <v>-4.6000000000000001E-4</v>
      </c>
      <c r="M42" s="54">
        <f t="shared" si="22"/>
        <v>0</v>
      </c>
      <c r="O42" s="54">
        <f t="shared" si="23"/>
        <v>0</v>
      </c>
      <c r="P42" s="54">
        <f t="shared" si="24"/>
        <v>0</v>
      </c>
      <c r="Q42" s="51" t="s">
        <v>82</v>
      </c>
    </row>
    <row r="43" spans="1:17" x14ac:dyDescent="0.3">
      <c r="A43" s="22">
        <f t="shared" si="0"/>
        <v>43</v>
      </c>
      <c r="B43" s="31"/>
      <c r="C43" s="52" t="s">
        <v>83</v>
      </c>
      <c r="D43" s="37"/>
      <c r="E43" s="37"/>
      <c r="H43" s="53">
        <v>2.0000000000000002E-5</v>
      </c>
      <c r="I43" s="53">
        <f t="shared" si="19"/>
        <v>2.0000000000000002E-5</v>
      </c>
      <c r="J43" s="53">
        <f t="shared" si="20"/>
        <v>2.0000000000000002E-5</v>
      </c>
      <c r="L43" s="53">
        <f t="shared" si="21"/>
        <v>2.0000000000000002E-5</v>
      </c>
      <c r="M43" s="54">
        <f t="shared" si="22"/>
        <v>0</v>
      </c>
      <c r="O43" s="54">
        <f t="shared" si="23"/>
        <v>0</v>
      </c>
      <c r="P43" s="54">
        <f t="shared" si="24"/>
        <v>0</v>
      </c>
      <c r="Q43" s="51" t="s">
        <v>84</v>
      </c>
    </row>
    <row r="44" spans="1:17" x14ac:dyDescent="0.3">
      <c r="A44" s="22">
        <f t="shared" si="0"/>
        <v>44</v>
      </c>
      <c r="B44" s="31"/>
      <c r="C44" s="52" t="s">
        <v>85</v>
      </c>
      <c r="D44" s="37"/>
      <c r="E44" s="37"/>
      <c r="H44" s="53">
        <v>-5.1000000000000004E-4</v>
      </c>
      <c r="I44" s="53">
        <f t="shared" si="19"/>
        <v>-5.1000000000000004E-4</v>
      </c>
      <c r="J44" s="53">
        <f t="shared" si="20"/>
        <v>-5.1000000000000004E-4</v>
      </c>
      <c r="L44" s="53">
        <f t="shared" si="21"/>
        <v>-5.1000000000000004E-4</v>
      </c>
      <c r="M44" s="54">
        <f t="shared" si="22"/>
        <v>0</v>
      </c>
      <c r="O44" s="54">
        <f t="shared" si="23"/>
        <v>0</v>
      </c>
      <c r="P44" s="54">
        <f t="shared" si="24"/>
        <v>0</v>
      </c>
      <c r="Q44" s="51" t="s">
        <v>86</v>
      </c>
    </row>
    <row r="45" spans="1:17" x14ac:dyDescent="0.3">
      <c r="A45" s="22">
        <f t="shared" si="0"/>
        <v>45</v>
      </c>
      <c r="B45" s="31"/>
      <c r="C45" s="52" t="s">
        <v>87</v>
      </c>
      <c r="D45" s="37"/>
      <c r="E45" s="37"/>
      <c r="H45" s="53">
        <v>1.9300000000000001E-3</v>
      </c>
      <c r="I45" s="53">
        <f t="shared" si="19"/>
        <v>1.9300000000000001E-3</v>
      </c>
      <c r="J45" s="53">
        <f t="shared" si="20"/>
        <v>1.9300000000000001E-3</v>
      </c>
      <c r="L45" s="53">
        <f t="shared" si="21"/>
        <v>1.9300000000000001E-3</v>
      </c>
      <c r="M45" s="54">
        <f t="shared" si="22"/>
        <v>0</v>
      </c>
      <c r="O45" s="54">
        <f t="shared" si="23"/>
        <v>0</v>
      </c>
      <c r="P45" s="54">
        <f t="shared" si="24"/>
        <v>0</v>
      </c>
      <c r="Q45" s="51" t="s">
        <v>88</v>
      </c>
    </row>
    <row r="46" spans="1:17" x14ac:dyDescent="0.3">
      <c r="A46" s="22">
        <f t="shared" si="0"/>
        <v>46</v>
      </c>
      <c r="B46" s="31"/>
      <c r="C46" s="52" t="s">
        <v>89</v>
      </c>
      <c r="D46" s="37"/>
      <c r="E46" s="37"/>
      <c r="H46" s="53">
        <v>-1.8E-3</v>
      </c>
      <c r="I46" s="53">
        <f t="shared" si="19"/>
        <v>-1.8E-3</v>
      </c>
      <c r="J46" s="53">
        <f t="shared" si="20"/>
        <v>-1.8E-3</v>
      </c>
      <c r="L46" s="53">
        <f t="shared" si="21"/>
        <v>-1.8E-3</v>
      </c>
      <c r="M46" s="54">
        <f t="shared" si="22"/>
        <v>0</v>
      </c>
      <c r="O46" s="54">
        <f t="shared" si="23"/>
        <v>0</v>
      </c>
      <c r="P46" s="54">
        <f t="shared" si="24"/>
        <v>0</v>
      </c>
      <c r="Q46" s="51" t="s">
        <v>90</v>
      </c>
    </row>
    <row r="47" spans="1:17" x14ac:dyDescent="0.3">
      <c r="A47" s="22">
        <f t="shared" si="0"/>
        <v>47</v>
      </c>
      <c r="B47" s="31"/>
      <c r="C47" s="52" t="s">
        <v>91</v>
      </c>
      <c r="D47" s="37"/>
      <c r="E47" s="37"/>
      <c r="H47" s="53">
        <v>2.2100000000000002E-3</v>
      </c>
      <c r="I47" s="53">
        <f t="shared" si="19"/>
        <v>2.2100000000000002E-3</v>
      </c>
      <c r="J47" s="53">
        <f t="shared" si="20"/>
        <v>2.2100000000000002E-3</v>
      </c>
      <c r="L47" s="53">
        <f t="shared" si="21"/>
        <v>2.2100000000000002E-3</v>
      </c>
      <c r="M47" s="54">
        <f t="shared" si="22"/>
        <v>0</v>
      </c>
      <c r="O47" s="54">
        <f t="shared" si="23"/>
        <v>0</v>
      </c>
      <c r="P47" s="54">
        <f t="shared" si="24"/>
        <v>0</v>
      </c>
      <c r="Q47" s="51" t="s">
        <v>92</v>
      </c>
    </row>
    <row r="48" spans="1:17" x14ac:dyDescent="0.3">
      <c r="A48" s="22">
        <f t="shared" si="0"/>
        <v>48</v>
      </c>
      <c r="B48" s="31"/>
      <c r="C48" s="52" t="s">
        <v>93</v>
      </c>
      <c r="D48" s="37"/>
      <c r="E48" s="37"/>
      <c r="H48" s="53">
        <v>2.9399999999999999E-3</v>
      </c>
      <c r="I48" s="53">
        <f t="shared" si="19"/>
        <v>2.9399999999999999E-3</v>
      </c>
      <c r="J48" s="53">
        <f t="shared" si="20"/>
        <v>2.9399999999999999E-3</v>
      </c>
      <c r="L48" s="53">
        <f t="shared" si="21"/>
        <v>2.9399999999999999E-3</v>
      </c>
      <c r="M48" s="54">
        <f t="shared" si="22"/>
        <v>0</v>
      </c>
      <c r="O48" s="54">
        <f t="shared" si="23"/>
        <v>0</v>
      </c>
      <c r="P48" s="54">
        <f t="shared" si="24"/>
        <v>0</v>
      </c>
      <c r="Q48" s="51" t="s">
        <v>94</v>
      </c>
    </row>
    <row r="49" spans="1:17" x14ac:dyDescent="0.3">
      <c r="A49" s="22">
        <f t="shared" si="0"/>
        <v>49</v>
      </c>
      <c r="B49" s="31"/>
      <c r="C49" s="52" t="s">
        <v>95</v>
      </c>
      <c r="D49" s="37"/>
      <c r="E49" s="37"/>
      <c r="H49" s="53">
        <v>0</v>
      </c>
      <c r="I49" s="53">
        <f t="shared" si="19"/>
        <v>0</v>
      </c>
      <c r="J49" s="53">
        <f t="shared" si="20"/>
        <v>0</v>
      </c>
      <c r="L49" s="53">
        <f t="shared" si="21"/>
        <v>0</v>
      </c>
      <c r="M49" s="54">
        <f t="shared" si="22"/>
        <v>0</v>
      </c>
      <c r="O49" s="54">
        <f t="shared" si="23"/>
        <v>0</v>
      </c>
      <c r="P49" s="54">
        <f t="shared" si="24"/>
        <v>0</v>
      </c>
      <c r="Q49" s="51" t="s">
        <v>96</v>
      </c>
    </row>
    <row r="50" spans="1:17" x14ac:dyDescent="0.3">
      <c r="A50" s="22">
        <f t="shared" si="0"/>
        <v>50</v>
      </c>
      <c r="B50" s="31"/>
      <c r="C50" s="52" t="s">
        <v>97</v>
      </c>
      <c r="D50" s="37"/>
      <c r="E50" s="37"/>
      <c r="H50" s="53">
        <v>0</v>
      </c>
      <c r="I50" s="53">
        <f t="shared" si="19"/>
        <v>0</v>
      </c>
      <c r="J50" s="53">
        <f t="shared" si="20"/>
        <v>0</v>
      </c>
      <c r="L50" s="53">
        <f t="shared" si="21"/>
        <v>0</v>
      </c>
      <c r="M50" s="54">
        <f t="shared" si="22"/>
        <v>0</v>
      </c>
      <c r="O50" s="54">
        <f t="shared" si="23"/>
        <v>0</v>
      </c>
      <c r="P50" s="54">
        <f t="shared" si="24"/>
        <v>0</v>
      </c>
      <c r="Q50" s="51" t="s">
        <v>98</v>
      </c>
    </row>
    <row r="51" spans="1:17" x14ac:dyDescent="0.3">
      <c r="A51" s="22">
        <f t="shared" si="0"/>
        <v>51</v>
      </c>
      <c r="B51" s="31"/>
      <c r="C51" s="52" t="s">
        <v>99</v>
      </c>
      <c r="D51" s="37"/>
      <c r="E51" s="37"/>
      <c r="H51" s="53">
        <v>1.3799999999999999E-3</v>
      </c>
      <c r="I51" s="53">
        <f t="shared" si="19"/>
        <v>1.3799999999999999E-3</v>
      </c>
      <c r="J51" s="53">
        <f t="shared" si="20"/>
        <v>1.3799999999999999E-3</v>
      </c>
      <c r="L51" s="53">
        <f t="shared" si="21"/>
        <v>1.3799999999999999E-3</v>
      </c>
      <c r="M51" s="54">
        <f t="shared" si="22"/>
        <v>0</v>
      </c>
      <c r="O51" s="54">
        <f t="shared" si="23"/>
        <v>0</v>
      </c>
      <c r="P51" s="54">
        <f t="shared" si="24"/>
        <v>0</v>
      </c>
      <c r="Q51" s="51" t="s">
        <v>100</v>
      </c>
    </row>
    <row r="52" spans="1:17" x14ac:dyDescent="0.3">
      <c r="A52" s="22">
        <f t="shared" si="0"/>
        <v>52</v>
      </c>
      <c r="B52" s="31"/>
      <c r="C52" s="52" t="s">
        <v>101</v>
      </c>
      <c r="D52" s="37"/>
      <c r="E52" s="37"/>
      <c r="H52" s="53">
        <v>-3.6999999999999999E-4</v>
      </c>
      <c r="I52" s="53">
        <f t="shared" si="19"/>
        <v>-3.6999999999999999E-4</v>
      </c>
      <c r="J52" s="53">
        <f t="shared" si="20"/>
        <v>-3.6999999999999999E-4</v>
      </c>
      <c r="L52" s="53">
        <f t="shared" si="21"/>
        <v>-3.6999999999999999E-4</v>
      </c>
      <c r="M52" s="54">
        <f t="shared" si="22"/>
        <v>0</v>
      </c>
      <c r="O52" s="54">
        <f t="shared" si="23"/>
        <v>0</v>
      </c>
      <c r="P52" s="54">
        <f t="shared" si="24"/>
        <v>0</v>
      </c>
      <c r="Q52" s="51" t="s">
        <v>102</v>
      </c>
    </row>
    <row r="53" spans="1:17" x14ac:dyDescent="0.3">
      <c r="A53" s="22">
        <f t="shared" si="0"/>
        <v>53</v>
      </c>
      <c r="B53" s="31"/>
      <c r="C53" s="52" t="s">
        <v>103</v>
      </c>
      <c r="D53" s="37"/>
      <c r="E53" s="37"/>
      <c r="H53" s="53">
        <v>4.052E-2</v>
      </c>
      <c r="I53" s="53">
        <f t="shared" si="19"/>
        <v>4.052E-2</v>
      </c>
      <c r="J53" s="53">
        <f t="shared" si="20"/>
        <v>4.052E-2</v>
      </c>
      <c r="L53" s="53">
        <f t="shared" si="21"/>
        <v>4.052E-2</v>
      </c>
      <c r="M53" s="54">
        <f t="shared" si="22"/>
        <v>0</v>
      </c>
      <c r="O53" s="54">
        <f t="shared" si="23"/>
        <v>0</v>
      </c>
      <c r="P53" s="54">
        <f t="shared" si="24"/>
        <v>0</v>
      </c>
      <c r="Q53" s="51" t="s">
        <v>104</v>
      </c>
    </row>
    <row r="54" spans="1:17" x14ac:dyDescent="0.3">
      <c r="A54" s="22">
        <f t="shared" si="0"/>
        <v>54</v>
      </c>
      <c r="B54" s="31"/>
      <c r="C54" s="52" t="s">
        <v>105</v>
      </c>
      <c r="D54" s="37"/>
      <c r="E54" s="37"/>
      <c r="H54" s="53">
        <v>2.861E-2</v>
      </c>
      <c r="I54" s="53">
        <v>3.7179999999999998E-2</v>
      </c>
      <c r="J54" s="53">
        <v>3.9489999999999997E-2</v>
      </c>
      <c r="K54" s="53"/>
      <c r="L54" s="53">
        <v>4.3970000000000002E-2</v>
      </c>
      <c r="M54" s="54">
        <f t="shared" si="22"/>
        <v>8.5699999999999978E-3</v>
      </c>
      <c r="O54" s="54">
        <f t="shared" si="23"/>
        <v>2.3099999999999996E-3</v>
      </c>
      <c r="P54" s="54">
        <f t="shared" si="24"/>
        <v>4.4800000000000048E-3</v>
      </c>
      <c r="Q54" s="51" t="s">
        <v>106</v>
      </c>
    </row>
    <row r="55" spans="1:17" x14ac:dyDescent="0.3">
      <c r="A55" s="22">
        <f t="shared" si="0"/>
        <v>55</v>
      </c>
      <c r="B55" s="31"/>
      <c r="C55" s="52" t="s">
        <v>107</v>
      </c>
      <c r="D55" s="37"/>
      <c r="E55" s="37"/>
      <c r="H55" s="53">
        <v>2.5000000000000001E-3</v>
      </c>
      <c r="I55" s="53">
        <f t="shared" si="19"/>
        <v>2.5000000000000001E-3</v>
      </c>
      <c r="J55" s="53">
        <f t="shared" si="20"/>
        <v>2.5000000000000001E-3</v>
      </c>
      <c r="L55" s="53">
        <f t="shared" si="21"/>
        <v>2.5000000000000001E-3</v>
      </c>
      <c r="M55" s="54">
        <f t="shared" si="22"/>
        <v>0</v>
      </c>
      <c r="O55" s="54">
        <f t="shared" si="23"/>
        <v>0</v>
      </c>
      <c r="P55" s="54">
        <f t="shared" si="24"/>
        <v>0</v>
      </c>
      <c r="Q55" s="51" t="s">
        <v>108</v>
      </c>
    </row>
    <row r="56" spans="1:17" x14ac:dyDescent="0.3">
      <c r="A56" s="22">
        <f t="shared" si="0"/>
        <v>56</v>
      </c>
      <c r="B56" s="31"/>
      <c r="C56" s="52" t="s">
        <v>109</v>
      </c>
      <c r="D56" s="37"/>
      <c r="E56" s="37"/>
      <c r="H56" s="53">
        <v>5.0000000000000001E-4</v>
      </c>
      <c r="I56" s="53">
        <f t="shared" si="19"/>
        <v>5.0000000000000001E-4</v>
      </c>
      <c r="J56" s="53">
        <f t="shared" si="20"/>
        <v>5.0000000000000001E-4</v>
      </c>
      <c r="L56" s="53">
        <f t="shared" si="21"/>
        <v>5.0000000000000001E-4</v>
      </c>
      <c r="M56" s="54">
        <f t="shared" si="22"/>
        <v>0</v>
      </c>
      <c r="O56" s="54">
        <f t="shared" si="23"/>
        <v>0</v>
      </c>
      <c r="P56" s="54">
        <f t="shared" si="24"/>
        <v>0</v>
      </c>
      <c r="Q56" s="51" t="s">
        <v>110</v>
      </c>
    </row>
    <row r="57" spans="1:17" x14ac:dyDescent="0.3">
      <c r="A57" s="22">
        <f t="shared" si="0"/>
        <v>57</v>
      </c>
      <c r="B57" s="31"/>
      <c r="C57" s="52" t="s">
        <v>111</v>
      </c>
      <c r="D57" s="37"/>
      <c r="E57" s="37"/>
      <c r="H57" s="53">
        <v>0.15772</v>
      </c>
      <c r="I57" s="53">
        <f t="shared" si="19"/>
        <v>0.15772</v>
      </c>
      <c r="J57" s="53">
        <f t="shared" si="20"/>
        <v>0.15772</v>
      </c>
      <c r="L57" s="53">
        <f t="shared" si="21"/>
        <v>0.15772</v>
      </c>
      <c r="M57" s="54">
        <f t="shared" si="22"/>
        <v>0</v>
      </c>
      <c r="O57" s="54">
        <f t="shared" si="23"/>
        <v>0</v>
      </c>
      <c r="P57" s="54">
        <f t="shared" si="24"/>
        <v>0</v>
      </c>
      <c r="Q57" s="51" t="s">
        <v>112</v>
      </c>
    </row>
    <row r="58" spans="1:17" x14ac:dyDescent="0.3">
      <c r="A58" s="31"/>
      <c r="B58" s="31"/>
      <c r="D58" s="37"/>
      <c r="E58" s="37"/>
      <c r="F58" s="55"/>
      <c r="G58" s="55"/>
      <c r="H58" s="55"/>
      <c r="I58" s="54"/>
      <c r="J58" s="37"/>
      <c r="K58" s="37"/>
      <c r="L58" s="37"/>
    </row>
    <row r="59" spans="1:17" x14ac:dyDescent="0.3">
      <c r="A59" s="31"/>
      <c r="B59" s="31"/>
      <c r="D59" s="37"/>
      <c r="E59" s="37"/>
      <c r="F59" s="55"/>
      <c r="G59" s="55"/>
      <c r="H59" s="55"/>
      <c r="I59" s="54"/>
      <c r="J59" s="37"/>
      <c r="K59" s="37"/>
      <c r="L59" s="37"/>
    </row>
    <row r="60" spans="1:17" x14ac:dyDescent="0.3">
      <c r="A60" s="31"/>
      <c r="B60" s="31"/>
      <c r="C60" s="28" t="s">
        <v>113</v>
      </c>
      <c r="D60" s="37"/>
      <c r="E60" s="37"/>
      <c r="G60" s="55"/>
      <c r="H60" s="55">
        <f>SUM(H31:H56)</f>
        <v>0.17562000000000003</v>
      </c>
      <c r="I60" s="55">
        <f>SUM(I31:I56)</f>
        <v>0.18419000000000002</v>
      </c>
      <c r="J60" s="55">
        <f>SUM(L31:L56)</f>
        <v>0.19098000000000004</v>
      </c>
      <c r="K60" s="37"/>
      <c r="L60" s="55">
        <f>SUM(J31:J56)</f>
        <v>0.18650000000000003</v>
      </c>
    </row>
    <row r="61" spans="1:17" x14ac:dyDescent="0.3">
      <c r="C61" s="28" t="s">
        <v>114</v>
      </c>
      <c r="D61" s="37"/>
      <c r="E61" s="37"/>
      <c r="G61" s="55"/>
      <c r="H61" s="55">
        <f>H57</f>
        <v>0.15772</v>
      </c>
      <c r="I61" s="55">
        <f>I57</f>
        <v>0.15772</v>
      </c>
      <c r="J61" s="55">
        <f>L57</f>
        <v>0.15772</v>
      </c>
      <c r="K61" s="37"/>
      <c r="L61" s="55">
        <f>J57</f>
        <v>0.15772</v>
      </c>
    </row>
    <row r="65" spans="3:20" x14ac:dyDescent="0.3">
      <c r="C65" s="35"/>
      <c r="D65" s="36"/>
      <c r="E65" s="36"/>
      <c r="F65" s="36"/>
      <c r="G65" s="36"/>
      <c r="H65" s="36"/>
      <c r="I65" s="36"/>
      <c r="J65" s="36"/>
      <c r="K65" s="37"/>
      <c r="L65" s="36"/>
      <c r="M65" s="39"/>
      <c r="N65" s="39"/>
      <c r="O65" s="39"/>
      <c r="P65" s="39"/>
      <c r="Q65" s="39"/>
      <c r="R65" s="39"/>
      <c r="T65" s="56"/>
    </row>
  </sheetData>
  <mergeCells count="7">
    <mergeCell ref="Z10:AA10"/>
    <mergeCell ref="D10:F10"/>
    <mergeCell ref="H10:J10"/>
    <mergeCell ref="L10:M10"/>
    <mergeCell ref="O10:Q10"/>
    <mergeCell ref="S10:T10"/>
    <mergeCell ref="V10:X10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683B-8082-42F2-ABFE-05F471CF6826}">
  <sheetPr>
    <tabColor theme="3" tint="0.59999389629810485"/>
    <pageSetUpPr fitToPage="1"/>
  </sheetPr>
  <dimension ref="A1:AA158"/>
  <sheetViews>
    <sheetView zoomScaleNormal="100" workbookViewId="0"/>
  </sheetViews>
  <sheetFormatPr defaultColWidth="8.7265625" defaultRowHeight="13" x14ac:dyDescent="0.3"/>
  <cols>
    <col min="1" max="1" width="4" style="68" customWidth="1"/>
    <col min="2" max="2" width="4.453125" style="68" bestFit="1" customWidth="1"/>
    <col min="3" max="4" width="11.81640625" style="68" customWidth="1"/>
    <col min="5" max="6" width="12.36328125" style="68" bestFit="1" customWidth="1"/>
    <col min="7" max="7" width="2" style="68" customWidth="1"/>
    <col min="8" max="8" width="12" style="68" bestFit="1" customWidth="1"/>
    <col min="9" max="9" width="12.36328125" style="68" bestFit="1" customWidth="1"/>
    <col min="10" max="10" width="11.81640625" style="68" customWidth="1"/>
    <col min="11" max="11" width="2" style="68" customWidth="1"/>
    <col min="12" max="13" width="11.81640625" style="68" customWidth="1"/>
    <col min="14" max="14" width="2" style="68" customWidth="1"/>
    <col min="15" max="15" width="11.81640625" style="68" customWidth="1"/>
    <col min="16" max="16" width="12.6328125" style="68" bestFit="1" customWidth="1"/>
    <col min="17" max="17" width="12.36328125" style="68" bestFit="1" customWidth="1"/>
    <col min="18" max="18" width="2" style="68" customWidth="1"/>
    <col min="19" max="20" width="11.81640625" style="68" customWidth="1"/>
    <col min="21" max="21" width="2" style="68" customWidth="1"/>
    <col min="22" max="22" width="11.81640625" style="68" customWidth="1"/>
    <col min="23" max="24" width="12.36328125" style="68" bestFit="1" customWidth="1"/>
    <col min="25" max="25" width="2" style="68" customWidth="1"/>
    <col min="26" max="27" width="11.81640625" style="68" customWidth="1"/>
    <col min="28" max="16384" width="8.7265625" style="68"/>
  </cols>
  <sheetData>
    <row r="1" spans="1:27" x14ac:dyDescent="0.3">
      <c r="A1" s="67">
        <v>1</v>
      </c>
    </row>
    <row r="2" spans="1:27" x14ac:dyDescent="0.3">
      <c r="A2" s="67">
        <f>A1+1</f>
        <v>2</v>
      </c>
    </row>
    <row r="3" spans="1:27" ht="14" x14ac:dyDescent="0.3">
      <c r="A3" s="67">
        <f t="shared" ref="A3:A52" si="0">A2+1</f>
        <v>3</v>
      </c>
      <c r="B3" s="24" t="s">
        <v>40</v>
      </c>
    </row>
    <row r="4" spans="1:27" ht="14" x14ac:dyDescent="0.3">
      <c r="A4" s="67">
        <f t="shared" si="0"/>
        <v>4</v>
      </c>
      <c r="B4" s="24" t="s">
        <v>41</v>
      </c>
      <c r="C4" s="44"/>
      <c r="D4" s="149"/>
      <c r="E4" s="22"/>
      <c r="F4" s="150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7" ht="14" x14ac:dyDescent="0.3">
      <c r="A5" s="67">
        <f t="shared" si="0"/>
        <v>5</v>
      </c>
      <c r="B5" s="24"/>
      <c r="C5" s="44"/>
      <c r="D5" s="149"/>
      <c r="E5" s="22"/>
      <c r="F5" s="150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7" ht="14" x14ac:dyDescent="0.3">
      <c r="A6" s="67">
        <f t="shared" si="0"/>
        <v>6</v>
      </c>
      <c r="B6" s="24" t="s">
        <v>137</v>
      </c>
      <c r="C6" s="44"/>
      <c r="D6" s="149"/>
      <c r="E6" s="22"/>
      <c r="F6" s="150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7" ht="14" x14ac:dyDescent="0.3">
      <c r="A7" s="67">
        <f t="shared" si="0"/>
        <v>7</v>
      </c>
      <c r="B7" s="24" t="s">
        <v>153</v>
      </c>
      <c r="C7" s="44"/>
      <c r="D7" s="149"/>
      <c r="E7" s="22"/>
      <c r="F7" s="150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7" ht="14" x14ac:dyDescent="0.3">
      <c r="A8" s="67">
        <f t="shared" si="0"/>
        <v>8</v>
      </c>
      <c r="B8" s="166"/>
      <c r="C8" s="44"/>
      <c r="D8" s="149"/>
      <c r="E8" s="22"/>
      <c r="F8" s="150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7" ht="14" x14ac:dyDescent="0.3">
      <c r="A9" s="67">
        <f t="shared" si="0"/>
        <v>9</v>
      </c>
      <c r="B9" s="104"/>
      <c r="C9" s="44"/>
      <c r="D9" s="44"/>
      <c r="E9" s="44"/>
      <c r="F9" s="131"/>
      <c r="G9" s="44"/>
    </row>
    <row r="10" spans="1:27" ht="14" x14ac:dyDescent="0.3">
      <c r="A10" s="67">
        <f t="shared" si="0"/>
        <v>10</v>
      </c>
      <c r="B10" s="104"/>
      <c r="C10" s="44"/>
      <c r="D10" s="44"/>
      <c r="E10" s="44"/>
      <c r="F10" s="132"/>
      <c r="G10" s="44"/>
    </row>
    <row r="11" spans="1:27" ht="14" x14ac:dyDescent="0.3">
      <c r="A11" s="67">
        <f t="shared" si="0"/>
        <v>11</v>
      </c>
      <c r="B11" s="31"/>
      <c r="C11" s="104" t="s">
        <v>2</v>
      </c>
      <c r="D11" s="32" t="str">
        <f>'EMA R1'!D10</f>
        <v>2024 Monthly Bill</v>
      </c>
      <c r="E11" s="32"/>
      <c r="F11" s="32"/>
      <c r="G11" s="133"/>
      <c r="H11" s="32" t="str">
        <f>'EMA R1'!H10</f>
        <v>2025 Illustrative Monthly Bill</v>
      </c>
      <c r="I11" s="32"/>
      <c r="J11" s="32"/>
      <c r="K11" s="23"/>
      <c r="L11" s="32" t="str">
        <f>'EMA R1'!L10</f>
        <v>2025 vs. 2024</v>
      </c>
      <c r="M11" s="32"/>
      <c r="N11" s="27"/>
      <c r="O11" s="32" t="str">
        <f>'EMA R1'!O10</f>
        <v>2026 Illustrative Monthly Bill</v>
      </c>
      <c r="P11" s="32"/>
      <c r="Q11" s="32"/>
      <c r="R11" s="133"/>
      <c r="S11" s="32" t="str">
        <f>'EMA R1'!S10</f>
        <v>2026 vs. 2025</v>
      </c>
      <c r="T11" s="32"/>
      <c r="U11" s="23"/>
      <c r="V11" s="32" t="str">
        <f>'EMA R1'!V10</f>
        <v>2027 Illustrative Monthly Bill</v>
      </c>
      <c r="W11" s="32"/>
      <c r="X11" s="32"/>
      <c r="Y11" s="133"/>
      <c r="Z11" s="32" t="str">
        <f>'EMA R1'!Z10</f>
        <v>2027 vs. 2026</v>
      </c>
      <c r="AA11" s="32"/>
    </row>
    <row r="12" spans="1:27" ht="14" x14ac:dyDescent="0.3">
      <c r="A12" s="67">
        <f t="shared" si="0"/>
        <v>12</v>
      </c>
      <c r="B12" s="31"/>
      <c r="C12" s="134" t="s">
        <v>47</v>
      </c>
      <c r="D12" s="34" t="s">
        <v>48</v>
      </c>
      <c r="E12" s="34" t="s">
        <v>49</v>
      </c>
      <c r="F12" s="34" t="s">
        <v>50</v>
      </c>
      <c r="G12" s="34"/>
      <c r="H12" s="34" t="s">
        <v>48</v>
      </c>
      <c r="I12" s="34" t="s">
        <v>49</v>
      </c>
      <c r="J12" s="34" t="s">
        <v>50</v>
      </c>
      <c r="K12" s="23"/>
      <c r="L12" s="34" t="s">
        <v>51</v>
      </c>
      <c r="M12" s="34" t="s">
        <v>14</v>
      </c>
      <c r="N12" s="34"/>
      <c r="O12" s="34" t="s">
        <v>48</v>
      </c>
      <c r="P12" s="34" t="s">
        <v>49</v>
      </c>
      <c r="Q12" s="34" t="s">
        <v>50</v>
      </c>
      <c r="R12" s="34"/>
      <c r="S12" s="34" t="s">
        <v>51</v>
      </c>
      <c r="T12" s="34" t="s">
        <v>14</v>
      </c>
      <c r="U12" s="23"/>
      <c r="V12" s="34" t="s">
        <v>48</v>
      </c>
      <c r="W12" s="34" t="s">
        <v>49</v>
      </c>
      <c r="X12" s="34" t="s">
        <v>50</v>
      </c>
      <c r="Y12" s="34"/>
      <c r="Z12" s="34" t="s">
        <v>51</v>
      </c>
      <c r="AA12" s="34" t="s">
        <v>14</v>
      </c>
    </row>
    <row r="13" spans="1:27" ht="14" x14ac:dyDescent="0.3">
      <c r="A13" s="67">
        <f t="shared" si="0"/>
        <v>13</v>
      </c>
      <c r="B13" s="31"/>
      <c r="C13" s="105">
        <v>27000</v>
      </c>
      <c r="D13" s="135">
        <f>ROUND($H$52+$C13*$H$53,2)</f>
        <v>2335.38</v>
      </c>
      <c r="E13" s="135">
        <f>ROUND($H$54*$C13,2)</f>
        <v>4232.79</v>
      </c>
      <c r="F13" s="135">
        <f t="shared" ref="F13:F18" si="1">SUM(D13:E13)</f>
        <v>6568.17</v>
      </c>
      <c r="G13" s="136"/>
      <c r="H13" s="135">
        <f>ROUND($I$52+$C13*$I$53,2)</f>
        <v>2835.15</v>
      </c>
      <c r="I13" s="135">
        <f>ROUND($I$54*$C13,2)</f>
        <v>4232.79</v>
      </c>
      <c r="J13" s="135">
        <f t="shared" ref="J13:J18" si="2">SUM(H13:I13)</f>
        <v>7067.9400000000005</v>
      </c>
      <c r="K13" s="136"/>
      <c r="L13" s="135">
        <f t="shared" ref="L13:L18" si="3">+J13-F13</f>
        <v>499.77000000000044</v>
      </c>
      <c r="M13" s="137">
        <f t="shared" ref="M13:M18" si="4">+L13/F13</f>
        <v>7.6089687081789967E-2</v>
      </c>
      <c r="N13" s="137"/>
      <c r="O13" s="135">
        <f>ROUND($J$52+$C13*$J$53,2)</f>
        <v>2914.8</v>
      </c>
      <c r="P13" s="135">
        <f>ROUND($J$54*$C13,2)</f>
        <v>4232.79</v>
      </c>
      <c r="Q13" s="135">
        <f t="shared" ref="Q13:Q18" si="5">SUM(O13:P13)</f>
        <v>7147.59</v>
      </c>
      <c r="R13" s="136"/>
      <c r="S13" s="135">
        <f>+Q13-J13</f>
        <v>79.649999999999636</v>
      </c>
      <c r="T13" s="137">
        <f>+S13/J13</f>
        <v>1.1269195833580877E-2</v>
      </c>
      <c r="U13" s="137"/>
      <c r="V13" s="135">
        <f>ROUND($L$52+$C13*$L$53,2)</f>
        <v>2909.4</v>
      </c>
      <c r="W13" s="135">
        <f t="shared" ref="W13:W18" si="6">ROUND($L$54*$C13,2)</f>
        <v>4232.79</v>
      </c>
      <c r="X13" s="135">
        <f t="shared" ref="X13" si="7">SUM(V13:W13)</f>
        <v>7142.1900000000005</v>
      </c>
      <c r="Y13" s="136"/>
      <c r="Z13" s="135">
        <f>+X13-Q13</f>
        <v>-5.3999999999996362</v>
      </c>
      <c r="AA13" s="137">
        <f>+Z13/Q13</f>
        <v>-7.5549940609347154E-4</v>
      </c>
    </row>
    <row r="14" spans="1:27" ht="14" x14ac:dyDescent="0.3">
      <c r="A14" s="67">
        <f t="shared" si="0"/>
        <v>14</v>
      </c>
      <c r="B14" s="31"/>
      <c r="C14" s="105">
        <v>40000</v>
      </c>
      <c r="D14" s="135">
        <f t="shared" ref="D14:D18" si="8">ROUND($H$52+$C14*$H$53,2)</f>
        <v>3452.6</v>
      </c>
      <c r="E14" s="135">
        <f>ROUND($H$54*$C14,2)</f>
        <v>6270.8</v>
      </c>
      <c r="F14" s="135">
        <f t="shared" si="1"/>
        <v>9723.4</v>
      </c>
      <c r="G14" s="136"/>
      <c r="H14" s="135">
        <f t="shared" ref="H14:H18" si="9">ROUND($I$52+$C14*$I$53,2)</f>
        <v>4193</v>
      </c>
      <c r="I14" s="135">
        <f t="shared" ref="I14:I18" si="10">ROUND($I$54*$C14,2)</f>
        <v>6270.8</v>
      </c>
      <c r="J14" s="135">
        <f t="shared" si="2"/>
        <v>10463.799999999999</v>
      </c>
      <c r="K14" s="136"/>
      <c r="L14" s="135">
        <f t="shared" si="3"/>
        <v>740.39999999999964</v>
      </c>
      <c r="M14" s="137">
        <f t="shared" si="4"/>
        <v>7.6146204002715059E-2</v>
      </c>
      <c r="N14" s="137"/>
      <c r="O14" s="135">
        <f t="shared" ref="O14:O18" si="11">ROUND($J$52+$C14*$J$53,2)</f>
        <v>4311</v>
      </c>
      <c r="P14" s="135">
        <f>ROUND($J$54*$C14,2)</f>
        <v>6270.8</v>
      </c>
      <c r="Q14" s="135">
        <f t="shared" si="5"/>
        <v>10581.8</v>
      </c>
      <c r="R14" s="136"/>
      <c r="S14" s="135">
        <f t="shared" ref="S14:S18" si="12">+Q14-J14</f>
        <v>118</v>
      </c>
      <c r="T14" s="137">
        <f t="shared" ref="T14:T18" si="13">+S14/J14</f>
        <v>1.1276973948278828E-2</v>
      </c>
      <c r="U14" s="137"/>
      <c r="V14" s="135">
        <f t="shared" ref="V14:V18" si="14">ROUND($L$52+$C14*$L$53,2)</f>
        <v>4303</v>
      </c>
      <c r="W14" s="135">
        <f t="shared" si="6"/>
        <v>6270.8</v>
      </c>
      <c r="X14" s="135">
        <f t="shared" ref="X14:X18" si="15">SUM(V14:W14)</f>
        <v>10573.8</v>
      </c>
      <c r="Y14" s="136"/>
      <c r="Z14" s="135">
        <f t="shared" ref="Z14:Z18" si="16">+X14-Q14</f>
        <v>-8</v>
      </c>
      <c r="AA14" s="137">
        <f t="shared" ref="AA14:AA18" si="17">+Z14/Q14</f>
        <v>-7.5601504469938955E-4</v>
      </c>
    </row>
    <row r="15" spans="1:27" ht="14" x14ac:dyDescent="0.3">
      <c r="A15" s="67">
        <f t="shared" si="0"/>
        <v>15</v>
      </c>
      <c r="B15" s="31"/>
      <c r="C15" s="105">
        <v>50000</v>
      </c>
      <c r="D15" s="135">
        <f t="shared" si="8"/>
        <v>4312</v>
      </c>
      <c r="E15" s="135">
        <f t="shared" ref="E15:E18" si="18">ROUND($H$54*$C15,2)</f>
        <v>7838.5</v>
      </c>
      <c r="F15" s="135">
        <f t="shared" si="1"/>
        <v>12150.5</v>
      </c>
      <c r="G15" s="136"/>
      <c r="H15" s="135">
        <f>ROUND($I$52+$C15*$I$53,2)</f>
        <v>5237.5</v>
      </c>
      <c r="I15" s="135">
        <f t="shared" si="10"/>
        <v>7838.5</v>
      </c>
      <c r="J15" s="135">
        <f t="shared" si="2"/>
        <v>13076</v>
      </c>
      <c r="K15" s="136"/>
      <c r="L15" s="135">
        <f t="shared" si="3"/>
        <v>925.5</v>
      </c>
      <c r="M15" s="137">
        <f t="shared" si="4"/>
        <v>7.6169704950413558E-2</v>
      </c>
      <c r="N15" s="137"/>
      <c r="O15" s="135">
        <f>ROUND($J$52+$C15*$J$53,2)</f>
        <v>5385</v>
      </c>
      <c r="P15" s="135">
        <f t="shared" ref="P15:P18" si="19">ROUND($J$54*$C15,2)</f>
        <v>7838.5</v>
      </c>
      <c r="Q15" s="135">
        <f t="shared" si="5"/>
        <v>13223.5</v>
      </c>
      <c r="R15" s="136"/>
      <c r="S15" s="135">
        <f t="shared" si="12"/>
        <v>147.5</v>
      </c>
      <c r="T15" s="137">
        <f t="shared" si="13"/>
        <v>1.128020801468339E-2</v>
      </c>
      <c r="U15" s="137"/>
      <c r="V15" s="135">
        <f>ROUND($L$52+$C15*$L$53,2)</f>
        <v>5375</v>
      </c>
      <c r="W15" s="135">
        <f t="shared" si="6"/>
        <v>7838.5</v>
      </c>
      <c r="X15" s="135">
        <f t="shared" si="15"/>
        <v>13213.5</v>
      </c>
      <c r="Y15" s="136"/>
      <c r="Z15" s="135">
        <f t="shared" si="16"/>
        <v>-10</v>
      </c>
      <c r="AA15" s="137">
        <f t="shared" si="17"/>
        <v>-7.5622944001209965E-4</v>
      </c>
    </row>
    <row r="16" spans="1:27" ht="14" x14ac:dyDescent="0.3">
      <c r="A16" s="67">
        <f t="shared" si="0"/>
        <v>16</v>
      </c>
      <c r="B16" s="31"/>
      <c r="C16" s="105">
        <v>75000</v>
      </c>
      <c r="D16" s="135">
        <f>ROUND($H$52+$C16*$H$53,2)</f>
        <v>6460.5</v>
      </c>
      <c r="E16" s="135">
        <f t="shared" si="18"/>
        <v>11757.75</v>
      </c>
      <c r="F16" s="135">
        <f t="shared" si="1"/>
        <v>18218.25</v>
      </c>
      <c r="G16" s="136"/>
      <c r="H16" s="135">
        <f t="shared" si="9"/>
        <v>7848.75</v>
      </c>
      <c r="I16" s="135">
        <f>ROUND($I$54*$C16,2)</f>
        <v>11757.75</v>
      </c>
      <c r="J16" s="135">
        <f t="shared" si="2"/>
        <v>19606.5</v>
      </c>
      <c r="K16" s="136"/>
      <c r="L16" s="135">
        <f t="shared" si="3"/>
        <v>1388.25</v>
      </c>
      <c r="M16" s="137">
        <f t="shared" si="4"/>
        <v>7.6201062121773494E-2</v>
      </c>
      <c r="N16" s="137"/>
      <c r="O16" s="135">
        <f t="shared" si="11"/>
        <v>8070</v>
      </c>
      <c r="P16" s="135">
        <f t="shared" si="19"/>
        <v>11757.75</v>
      </c>
      <c r="Q16" s="135">
        <f t="shared" si="5"/>
        <v>19827.75</v>
      </c>
      <c r="R16" s="136"/>
      <c r="S16" s="135">
        <f t="shared" si="12"/>
        <v>221.25</v>
      </c>
      <c r="T16" s="137">
        <f t="shared" si="13"/>
        <v>1.1284522989824804E-2</v>
      </c>
      <c r="U16" s="137"/>
      <c r="V16" s="135">
        <f t="shared" si="14"/>
        <v>8055</v>
      </c>
      <c r="W16" s="135">
        <f>ROUND($L$54*$C16,2)</f>
        <v>11757.75</v>
      </c>
      <c r="X16" s="135">
        <f t="shared" si="15"/>
        <v>19812.75</v>
      </c>
      <c r="Y16" s="136"/>
      <c r="Z16" s="135">
        <f t="shared" si="16"/>
        <v>-15</v>
      </c>
      <c r="AA16" s="137">
        <f t="shared" si="17"/>
        <v>-7.5651548965465073E-4</v>
      </c>
    </row>
    <row r="17" spans="1:27" ht="14" x14ac:dyDescent="0.3">
      <c r="A17" s="67">
        <f t="shared" si="0"/>
        <v>17</v>
      </c>
      <c r="B17" s="31"/>
      <c r="C17" s="105">
        <v>160000</v>
      </c>
      <c r="D17" s="135">
        <f t="shared" si="8"/>
        <v>13765.4</v>
      </c>
      <c r="E17" s="135">
        <f t="shared" si="18"/>
        <v>25083.200000000001</v>
      </c>
      <c r="F17" s="135">
        <f t="shared" si="1"/>
        <v>38848.6</v>
      </c>
      <c r="G17" s="136"/>
      <c r="H17" s="135">
        <f t="shared" si="9"/>
        <v>16727</v>
      </c>
      <c r="I17" s="135">
        <f t="shared" si="10"/>
        <v>25083.200000000001</v>
      </c>
      <c r="J17" s="135">
        <f t="shared" si="2"/>
        <v>41810.199999999997</v>
      </c>
      <c r="K17" s="136"/>
      <c r="L17" s="135">
        <f t="shared" si="3"/>
        <v>2961.5999999999985</v>
      </c>
      <c r="M17" s="137">
        <f t="shared" si="4"/>
        <v>7.6234407417513084E-2</v>
      </c>
      <c r="N17" s="137"/>
      <c r="O17" s="135">
        <f t="shared" si="11"/>
        <v>17199</v>
      </c>
      <c r="P17" s="135">
        <f t="shared" si="19"/>
        <v>25083.200000000001</v>
      </c>
      <c r="Q17" s="135">
        <f t="shared" si="5"/>
        <v>42282.2</v>
      </c>
      <c r="R17" s="136"/>
      <c r="S17" s="135">
        <f t="shared" si="12"/>
        <v>472</v>
      </c>
      <c r="T17" s="137">
        <f t="shared" si="13"/>
        <v>1.128911126949883E-2</v>
      </c>
      <c r="U17" s="137"/>
      <c r="V17" s="135">
        <f t="shared" si="14"/>
        <v>17167</v>
      </c>
      <c r="W17" s="135">
        <f t="shared" si="6"/>
        <v>25083.200000000001</v>
      </c>
      <c r="X17" s="135">
        <f t="shared" si="15"/>
        <v>42250.2</v>
      </c>
      <c r="Y17" s="136"/>
      <c r="Z17" s="135">
        <f t="shared" si="16"/>
        <v>-32</v>
      </c>
      <c r="AA17" s="137">
        <f t="shared" si="17"/>
        <v>-7.568196546064302E-4</v>
      </c>
    </row>
    <row r="18" spans="1:27" ht="14" x14ac:dyDescent="0.3">
      <c r="A18" s="67">
        <f t="shared" si="0"/>
        <v>18</v>
      </c>
      <c r="B18" s="31" t="s">
        <v>52</v>
      </c>
      <c r="C18" s="105">
        <v>69100</v>
      </c>
      <c r="D18" s="135">
        <f t="shared" si="8"/>
        <v>5953.45</v>
      </c>
      <c r="E18" s="135">
        <f t="shared" si="18"/>
        <v>10832.81</v>
      </c>
      <c r="F18" s="135">
        <f t="shared" si="1"/>
        <v>16786.259999999998</v>
      </c>
      <c r="G18" s="136"/>
      <c r="H18" s="135">
        <f t="shared" si="9"/>
        <v>7232.5</v>
      </c>
      <c r="I18" s="135">
        <f t="shared" si="10"/>
        <v>10832.81</v>
      </c>
      <c r="J18" s="135">
        <f t="shared" si="2"/>
        <v>18065.309999999998</v>
      </c>
      <c r="K18" s="136"/>
      <c r="L18" s="135">
        <f t="shared" si="3"/>
        <v>1279.0499999999993</v>
      </c>
      <c r="M18" s="137">
        <f t="shared" si="4"/>
        <v>7.6196246215654906E-2</v>
      </c>
      <c r="N18" s="137"/>
      <c r="O18" s="135">
        <f t="shared" si="11"/>
        <v>7436.34</v>
      </c>
      <c r="P18" s="135">
        <f t="shared" si="19"/>
        <v>10832.81</v>
      </c>
      <c r="Q18" s="135">
        <f t="shared" si="5"/>
        <v>18269.150000000001</v>
      </c>
      <c r="R18" s="136"/>
      <c r="S18" s="135">
        <f t="shared" si="12"/>
        <v>203.84000000000378</v>
      </c>
      <c r="T18" s="137">
        <f t="shared" si="13"/>
        <v>1.1283504130291914E-2</v>
      </c>
      <c r="U18" s="137"/>
      <c r="V18" s="135">
        <f t="shared" si="14"/>
        <v>7422.52</v>
      </c>
      <c r="W18" s="135">
        <f t="shared" si="6"/>
        <v>10832.81</v>
      </c>
      <c r="X18" s="135">
        <f t="shared" si="15"/>
        <v>18255.330000000002</v>
      </c>
      <c r="Y18" s="136"/>
      <c r="Z18" s="135">
        <f t="shared" si="16"/>
        <v>-13.819999999999709</v>
      </c>
      <c r="AA18" s="137">
        <f t="shared" si="17"/>
        <v>-7.5646650227294146E-4</v>
      </c>
    </row>
    <row r="19" spans="1:27" ht="14" x14ac:dyDescent="0.3">
      <c r="A19" s="67">
        <f t="shared" si="0"/>
        <v>19</v>
      </c>
      <c r="B19" s="31"/>
      <c r="C19" s="152"/>
      <c r="D19" s="153"/>
      <c r="E19" s="153"/>
      <c r="F19" s="154"/>
      <c r="G19" s="155"/>
      <c r="H19" s="153"/>
      <c r="I19" s="153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X19" s="81"/>
    </row>
    <row r="20" spans="1:27" ht="14" x14ac:dyDescent="0.3">
      <c r="A20" s="67">
        <f t="shared" si="0"/>
        <v>20</v>
      </c>
      <c r="B20" s="31"/>
      <c r="C20" s="105"/>
      <c r="D20" s="135"/>
      <c r="E20" s="135"/>
      <c r="F20" s="139"/>
      <c r="G20" s="140"/>
    </row>
    <row r="21" spans="1:27" ht="14" x14ac:dyDescent="0.3">
      <c r="A21" s="67">
        <f t="shared" si="0"/>
        <v>21</v>
      </c>
      <c r="B21" s="31"/>
      <c r="C21" s="44" t="s">
        <v>53</v>
      </c>
      <c r="D21" s="44"/>
      <c r="G21" s="168"/>
      <c r="H21" s="45">
        <f>'EMA R1'!H28</f>
        <v>2024</v>
      </c>
      <c r="I21" s="45">
        <f>'EMA R1'!I28</f>
        <v>2025</v>
      </c>
      <c r="J21" s="45">
        <f>'EMA R1'!J28</f>
        <v>2026</v>
      </c>
      <c r="K21" s="45"/>
      <c r="L21" s="45">
        <f>'EMA R1'!L28</f>
        <v>2027</v>
      </c>
      <c r="M21" s="45" t="str">
        <f>'EMA R1'!M28</f>
        <v>2025 v 2024</v>
      </c>
      <c r="N21" s="45"/>
      <c r="O21" s="45" t="str">
        <f>'EMA R1'!O28</f>
        <v>2026 v 2025</v>
      </c>
      <c r="P21" s="45" t="str">
        <f>'EMA R1'!P28</f>
        <v>2027 v 2026</v>
      </c>
    </row>
    <row r="22" spans="1:27" ht="15.5" x14ac:dyDescent="0.45">
      <c r="A22" s="67">
        <f t="shared" si="0"/>
        <v>22</v>
      </c>
      <c r="B22" s="31"/>
      <c r="C22" s="23" t="s">
        <v>53</v>
      </c>
      <c r="D22" s="44"/>
      <c r="G22" s="116"/>
      <c r="H22" s="47" t="str">
        <f>+'BOS G1ND'!H27</f>
        <v>Rates</v>
      </c>
      <c r="I22" s="47" t="s">
        <v>57</v>
      </c>
      <c r="J22" s="47" t="s">
        <v>57</v>
      </c>
      <c r="K22" s="37"/>
      <c r="L22" s="47" t="s">
        <v>57</v>
      </c>
      <c r="M22" s="48" t="s">
        <v>51</v>
      </c>
      <c r="N22" s="22"/>
      <c r="O22" s="48" t="s">
        <v>51</v>
      </c>
      <c r="P22" s="48" t="s">
        <v>51</v>
      </c>
    </row>
    <row r="23" spans="1:27" ht="14" x14ac:dyDescent="0.3">
      <c r="A23" s="67">
        <f t="shared" si="0"/>
        <v>23</v>
      </c>
      <c r="B23" s="31"/>
      <c r="C23" s="44" t="s">
        <v>58</v>
      </c>
      <c r="D23" s="23"/>
      <c r="H23" s="88">
        <v>15</v>
      </c>
      <c r="I23" s="49">
        <f t="shared" ref="I23:I50" si="20">+H23</f>
        <v>15</v>
      </c>
      <c r="J23" s="49">
        <f t="shared" ref="J23:J50" si="21">H23</f>
        <v>15</v>
      </c>
      <c r="K23" s="37"/>
      <c r="L23" s="49">
        <f t="shared" ref="L23:L50" si="22">H23</f>
        <v>15</v>
      </c>
      <c r="M23" s="50">
        <f t="shared" ref="M23:M50" si="23">+I23-H23</f>
        <v>0</v>
      </c>
      <c r="N23" s="50"/>
      <c r="O23" s="50">
        <f t="shared" ref="O23:O50" si="24">+J23-I23</f>
        <v>0</v>
      </c>
      <c r="P23" s="50">
        <f t="shared" ref="P23:P50" si="25">+L23-J23</f>
        <v>0</v>
      </c>
      <c r="Q23" s="89" t="s">
        <v>59</v>
      </c>
      <c r="R23" s="51"/>
      <c r="S23" s="51"/>
      <c r="T23" s="51"/>
      <c r="U23" s="51"/>
      <c r="V23" s="51"/>
    </row>
    <row r="24" spans="1:27" ht="14" x14ac:dyDescent="0.3">
      <c r="A24" s="67">
        <f t="shared" si="0"/>
        <v>24</v>
      </c>
      <c r="B24" s="31"/>
      <c r="C24" s="44" t="s">
        <v>60</v>
      </c>
      <c r="D24" s="23"/>
      <c r="H24" s="91">
        <v>2.1100000000000001E-2</v>
      </c>
      <c r="I24" s="53">
        <f t="shared" si="20"/>
        <v>2.1100000000000001E-2</v>
      </c>
      <c r="J24" s="53">
        <f t="shared" si="21"/>
        <v>2.1100000000000001E-2</v>
      </c>
      <c r="K24" s="37"/>
      <c r="L24" s="53">
        <f t="shared" si="22"/>
        <v>2.1100000000000001E-2</v>
      </c>
      <c r="M24" s="54">
        <f t="shared" si="23"/>
        <v>0</v>
      </c>
      <c r="N24" s="54"/>
      <c r="O24" s="54">
        <f t="shared" si="24"/>
        <v>0</v>
      </c>
      <c r="P24" s="54">
        <f t="shared" si="25"/>
        <v>0</v>
      </c>
      <c r="Q24" s="89" t="s">
        <v>59</v>
      </c>
      <c r="R24" s="51"/>
      <c r="S24" s="51"/>
      <c r="T24" s="51"/>
      <c r="U24" s="51"/>
      <c r="V24" s="51"/>
    </row>
    <row r="25" spans="1:27" ht="14" x14ac:dyDescent="0.3">
      <c r="A25" s="67">
        <f t="shared" si="0"/>
        <v>25</v>
      </c>
      <c r="B25" s="31"/>
      <c r="C25" s="44" t="str">
        <f>+'BOS G1ND'!C30</f>
        <v>Exogenous Cost Adjustment</v>
      </c>
      <c r="H25" s="91">
        <v>7.5000000000000002E-4</v>
      </c>
      <c r="I25" s="53">
        <f t="shared" si="20"/>
        <v>7.5000000000000002E-4</v>
      </c>
      <c r="J25" s="53">
        <f t="shared" si="21"/>
        <v>7.5000000000000002E-4</v>
      </c>
      <c r="K25" s="37"/>
      <c r="L25" s="53">
        <f t="shared" si="22"/>
        <v>7.5000000000000002E-4</v>
      </c>
      <c r="M25" s="54">
        <f t="shared" si="23"/>
        <v>0</v>
      </c>
      <c r="N25" s="54"/>
      <c r="O25" s="54">
        <f t="shared" si="24"/>
        <v>0</v>
      </c>
      <c r="P25" s="54">
        <f t="shared" si="25"/>
        <v>0</v>
      </c>
      <c r="Q25" s="89" t="str">
        <f>+'BOS G1ND'!Q30</f>
        <v>ECA</v>
      </c>
      <c r="R25" s="51"/>
      <c r="S25" s="51"/>
      <c r="T25" s="51"/>
      <c r="U25" s="51"/>
      <c r="V25" s="51"/>
    </row>
    <row r="26" spans="1:27" ht="14" x14ac:dyDescent="0.3">
      <c r="A26" s="67">
        <f t="shared" si="0"/>
        <v>26</v>
      </c>
      <c r="B26" s="31"/>
      <c r="C26" s="44" t="str">
        <f>+'BOS G1ND'!C31</f>
        <v>Revenue Decoupling</v>
      </c>
      <c r="D26" s="23"/>
      <c r="H26" s="91">
        <v>4.0000000000000003E-5</v>
      </c>
      <c r="I26" s="53">
        <f t="shared" si="20"/>
        <v>4.0000000000000003E-5</v>
      </c>
      <c r="J26" s="53">
        <f t="shared" si="21"/>
        <v>4.0000000000000003E-5</v>
      </c>
      <c r="K26" s="37"/>
      <c r="L26" s="53">
        <f t="shared" si="22"/>
        <v>4.0000000000000003E-5</v>
      </c>
      <c r="M26" s="54">
        <f t="shared" si="23"/>
        <v>0</v>
      </c>
      <c r="N26" s="54"/>
      <c r="O26" s="54">
        <f t="shared" si="24"/>
        <v>0</v>
      </c>
      <c r="P26" s="54">
        <f t="shared" si="25"/>
        <v>0</v>
      </c>
      <c r="Q26" s="89" t="str">
        <f>+'BOS G1ND'!Q31</f>
        <v>RDAF</v>
      </c>
      <c r="R26" s="51"/>
      <c r="S26" s="51"/>
      <c r="T26" s="51"/>
      <c r="U26" s="51"/>
      <c r="V26" s="51"/>
    </row>
    <row r="27" spans="1:27" ht="14" x14ac:dyDescent="0.3">
      <c r="A27" s="67">
        <f t="shared" si="0"/>
        <v>27</v>
      </c>
      <c r="B27" s="31"/>
      <c r="C27" s="44" t="str">
        <f>+'BOS G1ND'!C32</f>
        <v>Distributed Solar Charge</v>
      </c>
      <c r="D27" s="23"/>
      <c r="H27" s="91">
        <v>5.8999999999999999E-3</v>
      </c>
      <c r="I27" s="53">
        <f t="shared" si="20"/>
        <v>5.8999999999999999E-3</v>
      </c>
      <c r="J27" s="53">
        <f t="shared" si="21"/>
        <v>5.8999999999999999E-3</v>
      </c>
      <c r="K27" s="37"/>
      <c r="L27" s="53">
        <f t="shared" si="22"/>
        <v>5.8999999999999999E-3</v>
      </c>
      <c r="M27" s="54">
        <f t="shared" si="23"/>
        <v>0</v>
      </c>
      <c r="N27" s="54"/>
      <c r="O27" s="54">
        <f t="shared" si="24"/>
        <v>0</v>
      </c>
      <c r="P27" s="54">
        <f t="shared" si="25"/>
        <v>0</v>
      </c>
      <c r="Q27" s="89" t="str">
        <f>+'BOS G1ND'!Q32</f>
        <v>SMART</v>
      </c>
      <c r="R27" s="51"/>
      <c r="S27" s="51"/>
      <c r="T27" s="51"/>
      <c r="U27" s="51"/>
      <c r="V27" s="51"/>
    </row>
    <row r="28" spans="1:27" ht="14" x14ac:dyDescent="0.3">
      <c r="A28" s="67">
        <f t="shared" si="0"/>
        <v>28</v>
      </c>
      <c r="B28" s="31"/>
      <c r="C28" s="44" t="str">
        <f>+'BOS G1ND'!C33</f>
        <v>Residential Assistance Adjustment Factor</v>
      </c>
      <c r="D28" s="23"/>
      <c r="H28" s="53">
        <v>6.0200000000000002E-3</v>
      </c>
      <c r="I28" s="53">
        <f t="shared" si="20"/>
        <v>6.0200000000000002E-3</v>
      </c>
      <c r="J28" s="53">
        <f t="shared" si="21"/>
        <v>6.0200000000000002E-3</v>
      </c>
      <c r="K28" s="37"/>
      <c r="L28" s="53">
        <f t="shared" si="22"/>
        <v>6.0200000000000002E-3</v>
      </c>
      <c r="M28" s="54">
        <f t="shared" si="23"/>
        <v>0</v>
      </c>
      <c r="N28" s="54"/>
      <c r="O28" s="54">
        <f t="shared" si="24"/>
        <v>0</v>
      </c>
      <c r="P28" s="54">
        <f t="shared" si="25"/>
        <v>0</v>
      </c>
      <c r="Q28" s="89" t="str">
        <f>+'BOS G1ND'!Q33</f>
        <v>RAAF</v>
      </c>
      <c r="R28" s="51"/>
      <c r="S28" s="51"/>
      <c r="T28" s="51"/>
      <c r="U28" s="51"/>
      <c r="V28" s="51"/>
    </row>
    <row r="29" spans="1:27" ht="14" x14ac:dyDescent="0.3">
      <c r="A29" s="67">
        <f t="shared" si="0"/>
        <v>29</v>
      </c>
      <c r="B29" s="31"/>
      <c r="C29" s="44" t="str">
        <f>+'BOS G1ND'!C34</f>
        <v>Pension Adjustment Factor</v>
      </c>
      <c r="D29" s="23"/>
      <c r="H29" s="53">
        <v>5.8E-4</v>
      </c>
      <c r="I29" s="53">
        <f t="shared" si="20"/>
        <v>5.8E-4</v>
      </c>
      <c r="J29" s="53">
        <f t="shared" si="21"/>
        <v>5.8E-4</v>
      </c>
      <c r="K29" s="37"/>
      <c r="L29" s="53">
        <f t="shared" si="22"/>
        <v>5.8E-4</v>
      </c>
      <c r="M29" s="54">
        <f t="shared" si="23"/>
        <v>0</v>
      </c>
      <c r="N29" s="54"/>
      <c r="O29" s="54">
        <f t="shared" si="24"/>
        <v>0</v>
      </c>
      <c r="P29" s="54">
        <f t="shared" si="25"/>
        <v>0</v>
      </c>
      <c r="Q29" s="89" t="str">
        <f>+'BOS G1ND'!Q34</f>
        <v>PAF</v>
      </c>
      <c r="R29" s="51"/>
      <c r="S29" s="51"/>
      <c r="T29" s="51"/>
      <c r="U29" s="51"/>
      <c r="V29" s="51"/>
    </row>
    <row r="30" spans="1:27" ht="14" x14ac:dyDescent="0.3">
      <c r="A30" s="67">
        <f t="shared" si="0"/>
        <v>30</v>
      </c>
      <c r="B30" s="31"/>
      <c r="C30" s="44" t="str">
        <f>+'BOS G1ND'!C35</f>
        <v>Net Metering Recovery Surcharge</v>
      </c>
      <c r="D30" s="23"/>
      <c r="H30" s="91">
        <v>1.197E-2</v>
      </c>
      <c r="I30" s="53">
        <f t="shared" si="20"/>
        <v>1.197E-2</v>
      </c>
      <c r="J30" s="53">
        <f t="shared" si="21"/>
        <v>1.197E-2</v>
      </c>
      <c r="K30" s="37"/>
      <c r="L30" s="53">
        <f t="shared" si="22"/>
        <v>1.197E-2</v>
      </c>
      <c r="M30" s="54">
        <f t="shared" si="23"/>
        <v>0</v>
      </c>
      <c r="N30" s="54"/>
      <c r="O30" s="54">
        <f t="shared" si="24"/>
        <v>0</v>
      </c>
      <c r="P30" s="54">
        <f t="shared" si="25"/>
        <v>0</v>
      </c>
      <c r="Q30" s="89" t="str">
        <f>+'BOS G1ND'!Q35</f>
        <v>NMRS</v>
      </c>
      <c r="R30" s="51"/>
      <c r="S30" s="51"/>
      <c r="T30" s="51"/>
      <c r="U30" s="51"/>
      <c r="V30" s="51"/>
    </row>
    <row r="31" spans="1:27" ht="14" x14ac:dyDescent="0.3">
      <c r="A31" s="67">
        <f t="shared" si="0"/>
        <v>31</v>
      </c>
      <c r="B31" s="31"/>
      <c r="C31" s="44" t="str">
        <f>+'BOS G1ND'!C36</f>
        <v>Long Term Renewable Contract Adjustment</v>
      </c>
      <c r="H31" s="53">
        <v>-1.9300000000000001E-3</v>
      </c>
      <c r="I31" s="53">
        <f t="shared" si="20"/>
        <v>-1.9300000000000001E-3</v>
      </c>
      <c r="J31" s="53">
        <f t="shared" si="21"/>
        <v>-1.9300000000000001E-3</v>
      </c>
      <c r="K31" s="37"/>
      <c r="L31" s="53">
        <f t="shared" si="22"/>
        <v>-1.9300000000000001E-3</v>
      </c>
      <c r="M31" s="54">
        <f t="shared" si="23"/>
        <v>0</v>
      </c>
      <c r="N31" s="54"/>
      <c r="O31" s="54">
        <f t="shared" si="24"/>
        <v>0</v>
      </c>
      <c r="P31" s="54">
        <f t="shared" si="25"/>
        <v>0</v>
      </c>
      <c r="Q31" s="89" t="str">
        <f>+'BOS G1ND'!Q36</f>
        <v>LTRCA</v>
      </c>
      <c r="R31" s="51"/>
      <c r="S31" s="51"/>
      <c r="T31" s="51"/>
      <c r="U31" s="51"/>
      <c r="V31" s="51"/>
    </row>
    <row r="32" spans="1:27" ht="14" x14ac:dyDescent="0.3">
      <c r="A32" s="67">
        <f t="shared" si="0"/>
        <v>32</v>
      </c>
      <c r="B32" s="31"/>
      <c r="C32" s="44" t="str">
        <f>+'BOS G1ND'!C37</f>
        <v>AG Consulting Expense</v>
      </c>
      <c r="D32" s="23"/>
      <c r="H32" s="53">
        <v>4.0000000000000003E-5</v>
      </c>
      <c r="I32" s="53">
        <f t="shared" si="20"/>
        <v>4.0000000000000003E-5</v>
      </c>
      <c r="J32" s="53">
        <f t="shared" si="21"/>
        <v>4.0000000000000003E-5</v>
      </c>
      <c r="K32" s="37"/>
      <c r="L32" s="53">
        <f t="shared" si="22"/>
        <v>4.0000000000000003E-5</v>
      </c>
      <c r="M32" s="54">
        <f t="shared" si="23"/>
        <v>0</v>
      </c>
      <c r="N32" s="54"/>
      <c r="O32" s="54">
        <f t="shared" si="24"/>
        <v>0</v>
      </c>
      <c r="P32" s="54">
        <f t="shared" si="25"/>
        <v>0</v>
      </c>
      <c r="Q32" s="89" t="str">
        <f>+'BOS G1ND'!Q37</f>
        <v>AGCE</v>
      </c>
      <c r="R32" s="51"/>
      <c r="S32" s="51"/>
      <c r="T32" s="51"/>
      <c r="U32" s="51"/>
      <c r="V32" s="51"/>
    </row>
    <row r="33" spans="1:22" ht="14" x14ac:dyDescent="0.3">
      <c r="A33" s="67">
        <f t="shared" si="0"/>
        <v>33</v>
      </c>
      <c r="B33" s="31"/>
      <c r="C33" s="44" t="str">
        <f>+'BOS G1ND'!C38</f>
        <v>Storm Cost Recovery Adjustment Factor</v>
      </c>
      <c r="D33" s="23"/>
      <c r="H33" s="53">
        <v>4.8900000000000002E-3</v>
      </c>
      <c r="I33" s="53">
        <f t="shared" si="20"/>
        <v>4.8900000000000002E-3</v>
      </c>
      <c r="J33" s="53">
        <f t="shared" si="21"/>
        <v>4.8900000000000002E-3</v>
      </c>
      <c r="K33" s="37"/>
      <c r="L33" s="53">
        <f t="shared" si="22"/>
        <v>4.8900000000000002E-3</v>
      </c>
      <c r="M33" s="54">
        <f t="shared" si="23"/>
        <v>0</v>
      </c>
      <c r="N33" s="54"/>
      <c r="O33" s="54">
        <f t="shared" si="24"/>
        <v>0</v>
      </c>
      <c r="P33" s="54">
        <f t="shared" si="25"/>
        <v>0</v>
      </c>
      <c r="Q33" s="89" t="str">
        <f>+'BOS G1ND'!Q38</f>
        <v>SCRA</v>
      </c>
      <c r="R33" s="51"/>
      <c r="S33" s="51"/>
      <c r="T33" s="51"/>
      <c r="U33" s="51"/>
      <c r="V33" s="51"/>
    </row>
    <row r="34" spans="1:22" ht="14" x14ac:dyDescent="0.3">
      <c r="A34" s="67">
        <f t="shared" si="0"/>
        <v>34</v>
      </c>
      <c r="B34" s="31"/>
      <c r="C34" s="44" t="str">
        <f>+'BOS G1ND'!C39</f>
        <v>Storm Reserve Adjustment</v>
      </c>
      <c r="D34" s="23"/>
      <c r="H34" s="53">
        <v>0</v>
      </c>
      <c r="I34" s="53">
        <f t="shared" si="20"/>
        <v>0</v>
      </c>
      <c r="J34" s="53">
        <f t="shared" si="21"/>
        <v>0</v>
      </c>
      <c r="K34" s="37"/>
      <c r="L34" s="53">
        <f t="shared" si="22"/>
        <v>0</v>
      </c>
      <c r="M34" s="54">
        <f t="shared" si="23"/>
        <v>0</v>
      </c>
      <c r="N34" s="54"/>
      <c r="O34" s="54">
        <f t="shared" si="24"/>
        <v>0</v>
      </c>
      <c r="P34" s="54">
        <f t="shared" si="25"/>
        <v>0</v>
      </c>
      <c r="Q34" s="89" t="str">
        <f>+'BOS G1ND'!Q39</f>
        <v>SRA</v>
      </c>
      <c r="R34" s="51"/>
      <c r="S34" s="51"/>
      <c r="T34" s="51"/>
      <c r="U34" s="51"/>
      <c r="V34" s="51"/>
    </row>
    <row r="35" spans="1:22" ht="14" x14ac:dyDescent="0.3">
      <c r="A35" s="67">
        <f t="shared" si="0"/>
        <v>35</v>
      </c>
      <c r="B35" s="31"/>
      <c r="C35" s="44" t="str">
        <f>+'BOS G1ND'!C40</f>
        <v>Basic Service Cost True Up Factor</v>
      </c>
      <c r="D35" s="37"/>
      <c r="E35" s="37"/>
      <c r="H35" s="53">
        <v>-3.4000000000000002E-4</v>
      </c>
      <c r="I35" s="53">
        <f t="shared" si="20"/>
        <v>-3.4000000000000002E-4</v>
      </c>
      <c r="J35" s="53">
        <f t="shared" si="21"/>
        <v>-3.4000000000000002E-4</v>
      </c>
      <c r="K35" s="37"/>
      <c r="L35" s="53">
        <f t="shared" si="22"/>
        <v>-3.4000000000000002E-4</v>
      </c>
      <c r="M35" s="54">
        <f t="shared" si="23"/>
        <v>0</v>
      </c>
      <c r="N35" s="54"/>
      <c r="O35" s="54">
        <f t="shared" si="24"/>
        <v>0</v>
      </c>
      <c r="P35" s="54">
        <f t="shared" si="25"/>
        <v>0</v>
      </c>
      <c r="Q35" s="89" t="str">
        <f>+'BOS G1ND'!Q40</f>
        <v>BSTF</v>
      </c>
      <c r="R35" s="51"/>
      <c r="S35" s="51"/>
      <c r="T35" s="51"/>
      <c r="U35" s="51"/>
      <c r="V35" s="51"/>
    </row>
    <row r="36" spans="1:22" ht="14" x14ac:dyDescent="0.3">
      <c r="A36" s="67">
        <f t="shared" si="0"/>
        <v>36</v>
      </c>
      <c r="B36" s="31"/>
      <c r="C36" s="44" t="str">
        <f>+'BOS G1ND'!C41</f>
        <v>Solar Program Cost Adjustment Factor</v>
      </c>
      <c r="D36" s="37"/>
      <c r="E36" s="37"/>
      <c r="H36" s="53">
        <v>1.0000000000000001E-5</v>
      </c>
      <c r="I36" s="53">
        <f t="shared" si="20"/>
        <v>1.0000000000000001E-5</v>
      </c>
      <c r="J36" s="53">
        <f t="shared" si="21"/>
        <v>1.0000000000000001E-5</v>
      </c>
      <c r="K36" s="37"/>
      <c r="L36" s="53">
        <f t="shared" si="22"/>
        <v>1.0000000000000001E-5</v>
      </c>
      <c r="M36" s="54">
        <f t="shared" si="23"/>
        <v>0</v>
      </c>
      <c r="N36" s="54"/>
      <c r="O36" s="54">
        <f t="shared" si="24"/>
        <v>0</v>
      </c>
      <c r="P36" s="54">
        <f t="shared" si="25"/>
        <v>0</v>
      </c>
      <c r="Q36" s="89" t="str">
        <f>+'BOS G1ND'!Q41</f>
        <v>SPCA</v>
      </c>
      <c r="R36" s="51"/>
      <c r="S36" s="51"/>
      <c r="T36" s="51"/>
      <c r="U36" s="51"/>
      <c r="V36" s="51"/>
    </row>
    <row r="37" spans="1:22" ht="14" x14ac:dyDescent="0.3">
      <c r="A37" s="67">
        <f t="shared" si="0"/>
        <v>37</v>
      </c>
      <c r="B37" s="31"/>
      <c r="C37" s="44" t="str">
        <f>+'BOS G1ND'!C42</f>
        <v>Solar Expansion Cost Recovery Factor</v>
      </c>
      <c r="D37" s="23"/>
      <c r="H37" s="53">
        <v>-3.6999999999999999E-4</v>
      </c>
      <c r="I37" s="53">
        <f t="shared" si="20"/>
        <v>-3.6999999999999999E-4</v>
      </c>
      <c r="J37" s="53">
        <f t="shared" si="21"/>
        <v>-3.6999999999999999E-4</v>
      </c>
      <c r="K37" s="37"/>
      <c r="L37" s="53">
        <f t="shared" si="22"/>
        <v>-3.6999999999999999E-4</v>
      </c>
      <c r="M37" s="54">
        <f t="shared" si="23"/>
        <v>0</v>
      </c>
      <c r="N37" s="54"/>
      <c r="O37" s="54">
        <f t="shared" si="24"/>
        <v>0</v>
      </c>
      <c r="P37" s="54">
        <f t="shared" si="25"/>
        <v>0</v>
      </c>
      <c r="Q37" s="89" t="str">
        <f>+'BOS G1ND'!Q42</f>
        <v>SECRF</v>
      </c>
      <c r="R37" s="51"/>
      <c r="S37" s="51"/>
      <c r="T37" s="51"/>
      <c r="U37" s="51"/>
      <c r="V37" s="51"/>
    </row>
    <row r="38" spans="1:22" ht="14" x14ac:dyDescent="0.3">
      <c r="A38" s="67">
        <f t="shared" si="0"/>
        <v>38</v>
      </c>
      <c r="B38" s="31"/>
      <c r="C38" s="44" t="str">
        <f>+'BOS G1ND'!C43</f>
        <v>Vegetation Management</v>
      </c>
      <c r="D38" s="23"/>
      <c r="H38" s="53">
        <v>1.2999999999999999E-3</v>
      </c>
      <c r="I38" s="53">
        <f t="shared" si="20"/>
        <v>1.2999999999999999E-3</v>
      </c>
      <c r="J38" s="53">
        <f t="shared" si="21"/>
        <v>1.2999999999999999E-3</v>
      </c>
      <c r="K38" s="37"/>
      <c r="L38" s="53">
        <f t="shared" si="22"/>
        <v>1.2999999999999999E-3</v>
      </c>
      <c r="M38" s="54">
        <f t="shared" si="23"/>
        <v>0</v>
      </c>
      <c r="N38" s="54"/>
      <c r="O38" s="54">
        <f t="shared" si="24"/>
        <v>0</v>
      </c>
      <c r="P38" s="54">
        <f t="shared" si="25"/>
        <v>0</v>
      </c>
      <c r="Q38" s="89" t="str">
        <f>+'BOS G1ND'!Q43</f>
        <v>RTWF</v>
      </c>
      <c r="R38" s="51"/>
      <c r="S38" s="51"/>
      <c r="T38" s="51"/>
      <c r="U38" s="51"/>
      <c r="V38" s="51"/>
    </row>
    <row r="39" spans="1:22" ht="14" x14ac:dyDescent="0.3">
      <c r="A39" s="67">
        <f t="shared" si="0"/>
        <v>39</v>
      </c>
      <c r="B39" s="31"/>
      <c r="C39" s="44" t="str">
        <f>+'BOS G1ND'!C44</f>
        <v>Tax Act Credit Factor</v>
      </c>
      <c r="D39" s="23"/>
      <c r="H39" s="53">
        <v>-1.33E-3</v>
      </c>
      <c r="I39" s="53">
        <f t="shared" si="20"/>
        <v>-1.33E-3</v>
      </c>
      <c r="J39" s="53">
        <f t="shared" si="21"/>
        <v>-1.33E-3</v>
      </c>
      <c r="K39" s="37"/>
      <c r="L39" s="53">
        <f t="shared" si="22"/>
        <v>-1.33E-3</v>
      </c>
      <c r="M39" s="54">
        <f t="shared" si="23"/>
        <v>0</v>
      </c>
      <c r="N39" s="54"/>
      <c r="O39" s="54">
        <f t="shared" si="24"/>
        <v>0</v>
      </c>
      <c r="P39" s="54">
        <f t="shared" si="25"/>
        <v>0</v>
      </c>
      <c r="Q39" s="89" t="str">
        <f>+'BOS G1ND'!Q44</f>
        <v>TACF</v>
      </c>
      <c r="R39" s="51"/>
      <c r="S39" s="51"/>
      <c r="T39" s="51"/>
      <c r="U39" s="51"/>
      <c r="V39" s="51"/>
    </row>
    <row r="40" spans="1:22" ht="14" x14ac:dyDescent="0.3">
      <c r="A40" s="67">
        <f t="shared" si="0"/>
        <v>40</v>
      </c>
      <c r="B40" s="31"/>
      <c r="C40" s="44" t="str">
        <f>+'BOS G1ND'!C45</f>
        <v>Grid Modernization</v>
      </c>
      <c r="D40" s="23"/>
      <c r="H40" s="53">
        <v>1.65E-3</v>
      </c>
      <c r="I40" s="53">
        <f t="shared" si="20"/>
        <v>1.65E-3</v>
      </c>
      <c r="J40" s="53">
        <f t="shared" si="21"/>
        <v>1.65E-3</v>
      </c>
      <c r="K40" s="37"/>
      <c r="L40" s="53">
        <f t="shared" si="22"/>
        <v>1.65E-3</v>
      </c>
      <c r="M40" s="54">
        <f t="shared" si="23"/>
        <v>0</v>
      </c>
      <c r="N40" s="54"/>
      <c r="O40" s="54">
        <f t="shared" si="24"/>
        <v>0</v>
      </c>
      <c r="P40" s="54">
        <f t="shared" si="25"/>
        <v>0</v>
      </c>
      <c r="Q40" s="89" t="str">
        <f>+'BOS G1ND'!Q45</f>
        <v>GMOD</v>
      </c>
      <c r="R40" s="51"/>
      <c r="S40" s="51"/>
      <c r="T40" s="51"/>
      <c r="U40" s="51"/>
      <c r="V40" s="51"/>
    </row>
    <row r="41" spans="1:22" ht="14" x14ac:dyDescent="0.3">
      <c r="A41" s="67">
        <f t="shared" si="0"/>
        <v>41</v>
      </c>
      <c r="B41" s="31"/>
      <c r="C41" s="44" t="str">
        <f>+'BOS G1ND'!C46</f>
        <v>Advanced Metering Infrastructure</v>
      </c>
      <c r="D41" s="23"/>
      <c r="H41" s="53">
        <v>2.1900000000000001E-3</v>
      </c>
      <c r="I41" s="53">
        <f t="shared" si="20"/>
        <v>2.1900000000000001E-3</v>
      </c>
      <c r="J41" s="53">
        <f t="shared" si="21"/>
        <v>2.1900000000000001E-3</v>
      </c>
      <c r="K41" s="37"/>
      <c r="L41" s="53">
        <f t="shared" si="22"/>
        <v>2.1900000000000001E-3</v>
      </c>
      <c r="M41" s="54">
        <f t="shared" si="23"/>
        <v>0</v>
      </c>
      <c r="N41" s="54"/>
      <c r="O41" s="54">
        <f t="shared" si="24"/>
        <v>0</v>
      </c>
      <c r="P41" s="54">
        <f t="shared" si="25"/>
        <v>0</v>
      </c>
      <c r="Q41" s="89" t="str">
        <f>+'BOS G1ND'!Q46</f>
        <v>AMIF</v>
      </c>
      <c r="R41" s="51"/>
      <c r="S41" s="51"/>
      <c r="T41" s="51"/>
      <c r="U41" s="51"/>
      <c r="V41" s="51"/>
    </row>
    <row r="42" spans="1:22" ht="14" x14ac:dyDescent="0.3">
      <c r="A42" s="67">
        <f t="shared" si="0"/>
        <v>42</v>
      </c>
      <c r="B42" s="31"/>
      <c r="C42" s="44" t="str">
        <f>+'BOS G1ND'!C47</f>
        <v>Electronic Payment Recovery</v>
      </c>
      <c r="D42" s="23"/>
      <c r="H42" s="53">
        <v>0</v>
      </c>
      <c r="I42" s="53">
        <f t="shared" si="20"/>
        <v>0</v>
      </c>
      <c r="J42" s="53">
        <f t="shared" si="21"/>
        <v>0</v>
      </c>
      <c r="K42" s="37"/>
      <c r="L42" s="53">
        <f t="shared" si="22"/>
        <v>0</v>
      </c>
      <c r="M42" s="54">
        <f t="shared" si="23"/>
        <v>0</v>
      </c>
      <c r="N42" s="54"/>
      <c r="O42" s="54">
        <f t="shared" si="24"/>
        <v>0</v>
      </c>
      <c r="P42" s="54">
        <f t="shared" si="25"/>
        <v>0</v>
      </c>
      <c r="Q42" s="89" t="str">
        <f>+'BOS G1ND'!Q47</f>
        <v>EPR</v>
      </c>
      <c r="R42" s="51"/>
      <c r="S42" s="51"/>
      <c r="T42" s="51"/>
      <c r="U42" s="51"/>
      <c r="V42" s="51"/>
    </row>
    <row r="43" spans="1:22" ht="14" x14ac:dyDescent="0.3">
      <c r="A43" s="67">
        <f t="shared" si="0"/>
        <v>43</v>
      </c>
      <c r="B43" s="31"/>
      <c r="C43" s="44" t="str">
        <f>+'BOS G1ND'!C48</f>
        <v>Provisional System Planning Factor</v>
      </c>
      <c r="D43" s="23"/>
      <c r="H43" s="91">
        <v>0</v>
      </c>
      <c r="I43" s="53">
        <f t="shared" si="20"/>
        <v>0</v>
      </c>
      <c r="J43" s="53">
        <f t="shared" si="21"/>
        <v>0</v>
      </c>
      <c r="K43" s="37"/>
      <c r="L43" s="53">
        <f t="shared" si="22"/>
        <v>0</v>
      </c>
      <c r="M43" s="54">
        <f t="shared" si="23"/>
        <v>0</v>
      </c>
      <c r="N43" s="54"/>
      <c r="O43" s="54">
        <f t="shared" si="24"/>
        <v>0</v>
      </c>
      <c r="P43" s="54">
        <f t="shared" si="25"/>
        <v>0</v>
      </c>
      <c r="Q43" s="89" t="str">
        <f>+'BOS G1ND'!Q48</f>
        <v>PSPF</v>
      </c>
      <c r="R43" s="51"/>
      <c r="S43" s="51"/>
      <c r="T43" s="51"/>
      <c r="U43" s="51"/>
      <c r="V43" s="51"/>
    </row>
    <row r="44" spans="1:22" ht="14" x14ac:dyDescent="0.3">
      <c r="A44" s="67">
        <f t="shared" si="0"/>
        <v>44</v>
      </c>
      <c r="B44" s="31"/>
      <c r="C44" s="44" t="str">
        <f>+'BOS G1ND'!C49</f>
        <v>Electric Vehicle Factor</v>
      </c>
      <c r="D44" s="23"/>
      <c r="H44" s="91">
        <v>1.0300000000000001E-3</v>
      </c>
      <c r="I44" s="53">
        <f t="shared" si="20"/>
        <v>1.0300000000000001E-3</v>
      </c>
      <c r="J44" s="53">
        <f t="shared" si="21"/>
        <v>1.0300000000000001E-3</v>
      </c>
      <c r="K44" s="37"/>
      <c r="L44" s="53">
        <f t="shared" si="22"/>
        <v>1.0300000000000001E-3</v>
      </c>
      <c r="M44" s="54">
        <f t="shared" si="23"/>
        <v>0</v>
      </c>
      <c r="N44" s="54"/>
      <c r="O44" s="54">
        <f t="shared" si="24"/>
        <v>0</v>
      </c>
      <c r="P44" s="54">
        <f t="shared" si="25"/>
        <v>0</v>
      </c>
      <c r="Q44" s="89" t="str">
        <f>+'BOS G1ND'!Q49</f>
        <v>EVF</v>
      </c>
      <c r="R44" s="51"/>
      <c r="S44" s="51"/>
      <c r="T44" s="51"/>
      <c r="U44" s="51"/>
      <c r="V44" s="51"/>
    </row>
    <row r="45" spans="1:22" ht="14" x14ac:dyDescent="0.3">
      <c r="A45" s="67">
        <f t="shared" si="0"/>
        <v>45</v>
      </c>
      <c r="B45" s="31"/>
      <c r="C45" s="44" t="str">
        <f>+'BOS G1ND'!C50</f>
        <v>Transition</v>
      </c>
      <c r="D45" s="23"/>
      <c r="H45" s="91">
        <v>-3.6999999999999999E-4</v>
      </c>
      <c r="I45" s="53">
        <f t="shared" si="20"/>
        <v>-3.6999999999999999E-4</v>
      </c>
      <c r="J45" s="53">
        <f t="shared" si="21"/>
        <v>-3.6999999999999999E-4</v>
      </c>
      <c r="K45" s="37"/>
      <c r="L45" s="53">
        <f t="shared" si="22"/>
        <v>-3.6999999999999999E-4</v>
      </c>
      <c r="M45" s="54">
        <f t="shared" si="23"/>
        <v>0</v>
      </c>
      <c r="N45" s="54"/>
      <c r="O45" s="54">
        <f t="shared" si="24"/>
        <v>0</v>
      </c>
      <c r="P45" s="54">
        <f t="shared" si="25"/>
        <v>0</v>
      </c>
      <c r="Q45" s="89" t="str">
        <f>+'BOS G1ND'!Q50</f>
        <v>TRNSN</v>
      </c>
      <c r="R45" s="51"/>
      <c r="S45" s="51"/>
      <c r="T45" s="51"/>
      <c r="U45" s="51"/>
      <c r="V45" s="51"/>
    </row>
    <row r="46" spans="1:22" ht="14" x14ac:dyDescent="0.3">
      <c r="A46" s="67">
        <f t="shared" si="0"/>
        <v>46</v>
      </c>
      <c r="B46" s="31"/>
      <c r="C46" s="44" t="s">
        <v>103</v>
      </c>
      <c r="D46" s="23"/>
      <c r="H46" s="91">
        <v>3.7940000000000002E-2</v>
      </c>
      <c r="I46" s="53">
        <f t="shared" si="20"/>
        <v>3.7940000000000002E-2</v>
      </c>
      <c r="J46" s="53">
        <f t="shared" si="21"/>
        <v>3.7940000000000002E-2</v>
      </c>
      <c r="K46" s="37"/>
      <c r="L46" s="53">
        <f t="shared" si="22"/>
        <v>3.7940000000000002E-2</v>
      </c>
      <c r="M46" s="54">
        <f t="shared" si="23"/>
        <v>0</v>
      </c>
      <c r="N46" s="54"/>
      <c r="O46" s="54">
        <f t="shared" si="24"/>
        <v>0</v>
      </c>
      <c r="P46" s="54">
        <f t="shared" si="25"/>
        <v>0</v>
      </c>
      <c r="Q46" s="51" t="s">
        <v>104</v>
      </c>
      <c r="R46" s="51"/>
      <c r="S46" s="51"/>
      <c r="T46" s="51"/>
      <c r="U46" s="51"/>
      <c r="V46" s="51"/>
    </row>
    <row r="47" spans="1:22" ht="14" x14ac:dyDescent="0.3">
      <c r="A47" s="67">
        <f t="shared" si="0"/>
        <v>47</v>
      </c>
      <c r="B47" s="31"/>
      <c r="C47" s="44" t="s">
        <v>105</v>
      </c>
      <c r="H47" s="91">
        <v>-8.1300000000000001E-3</v>
      </c>
      <c r="I47" s="53">
        <v>1.038E-2</v>
      </c>
      <c r="J47" s="53">
        <v>1.333E-2</v>
      </c>
      <c r="K47" s="53"/>
      <c r="L47" s="53">
        <v>1.3129999999999999E-2</v>
      </c>
      <c r="M47" s="54">
        <f t="shared" si="23"/>
        <v>1.8509999999999999E-2</v>
      </c>
      <c r="N47" s="54"/>
      <c r="O47" s="54">
        <f t="shared" si="24"/>
        <v>2.9499999999999995E-3</v>
      </c>
      <c r="P47" s="54">
        <f t="shared" si="25"/>
        <v>-2.0000000000000052E-4</v>
      </c>
      <c r="Q47" s="89" t="s">
        <v>106</v>
      </c>
      <c r="R47" s="51"/>
      <c r="S47" s="51"/>
      <c r="T47" s="51"/>
      <c r="U47" s="51"/>
      <c r="V47" s="51"/>
    </row>
    <row r="48" spans="1:22" ht="14" x14ac:dyDescent="0.3">
      <c r="A48" s="67">
        <f t="shared" si="0"/>
        <v>48</v>
      </c>
      <c r="B48" s="31"/>
      <c r="C48" s="44" t="s">
        <v>107</v>
      </c>
      <c r="E48" s="44"/>
      <c r="H48" s="91">
        <v>2.5000000000000001E-3</v>
      </c>
      <c r="I48" s="53">
        <f t="shared" si="20"/>
        <v>2.5000000000000001E-3</v>
      </c>
      <c r="J48" s="53">
        <f t="shared" si="21"/>
        <v>2.5000000000000001E-3</v>
      </c>
      <c r="K48" s="37"/>
      <c r="L48" s="53">
        <f t="shared" si="22"/>
        <v>2.5000000000000001E-3</v>
      </c>
      <c r="M48" s="54">
        <f t="shared" si="23"/>
        <v>0</v>
      </c>
      <c r="N48" s="54"/>
      <c r="O48" s="54">
        <f t="shared" si="24"/>
        <v>0</v>
      </c>
      <c r="P48" s="54">
        <f t="shared" si="25"/>
        <v>0</v>
      </c>
      <c r="Q48" s="89" t="s">
        <v>108</v>
      </c>
      <c r="R48" s="51"/>
      <c r="S48" s="51"/>
      <c r="T48" s="51"/>
      <c r="U48" s="51"/>
      <c r="V48" s="51"/>
    </row>
    <row r="49" spans="1:23" ht="14" x14ac:dyDescent="0.3">
      <c r="A49" s="67">
        <f t="shared" si="0"/>
        <v>49</v>
      </c>
      <c r="B49" s="31"/>
      <c r="C49" s="44" t="s">
        <v>109</v>
      </c>
      <c r="E49" s="44"/>
      <c r="H49" s="91">
        <v>5.0000000000000001E-4</v>
      </c>
      <c r="I49" s="53">
        <f t="shared" si="20"/>
        <v>5.0000000000000001E-4</v>
      </c>
      <c r="J49" s="53">
        <f t="shared" si="21"/>
        <v>5.0000000000000001E-4</v>
      </c>
      <c r="K49" s="37"/>
      <c r="L49" s="53">
        <f t="shared" si="22"/>
        <v>5.0000000000000001E-4</v>
      </c>
      <c r="M49" s="54">
        <f t="shared" si="23"/>
        <v>0</v>
      </c>
      <c r="N49" s="54"/>
      <c r="O49" s="54">
        <f t="shared" si="24"/>
        <v>0</v>
      </c>
      <c r="P49" s="54">
        <f t="shared" si="25"/>
        <v>0</v>
      </c>
      <c r="Q49" s="89" t="s">
        <v>110</v>
      </c>
      <c r="R49" s="2"/>
      <c r="S49" s="2"/>
      <c r="T49" s="2"/>
      <c r="U49" s="2"/>
      <c r="V49" s="2"/>
    </row>
    <row r="50" spans="1:23" ht="14" x14ac:dyDescent="0.3">
      <c r="A50" s="67">
        <f t="shared" si="0"/>
        <v>50</v>
      </c>
      <c r="B50" s="31"/>
      <c r="C50" s="44" t="s">
        <v>111</v>
      </c>
      <c r="E50" s="44"/>
      <c r="H50" s="53">
        <v>0.15676999999999999</v>
      </c>
      <c r="I50" s="53">
        <f t="shared" si="20"/>
        <v>0.15676999999999999</v>
      </c>
      <c r="J50" s="53">
        <f t="shared" si="21"/>
        <v>0.15676999999999999</v>
      </c>
      <c r="K50" s="37"/>
      <c r="L50" s="53">
        <f t="shared" si="22"/>
        <v>0.15676999999999999</v>
      </c>
      <c r="M50" s="54">
        <f t="shared" si="23"/>
        <v>0</v>
      </c>
      <c r="N50" s="54"/>
      <c r="O50" s="54">
        <f t="shared" si="24"/>
        <v>0</v>
      </c>
      <c r="P50" s="54">
        <f t="shared" si="25"/>
        <v>0</v>
      </c>
      <c r="Q50" s="89" t="s">
        <v>112</v>
      </c>
      <c r="R50" s="2"/>
      <c r="S50" s="2"/>
      <c r="T50" s="2"/>
      <c r="U50" s="2"/>
      <c r="V50" s="2"/>
    </row>
    <row r="51" spans="1:23" ht="14" x14ac:dyDescent="0.3">
      <c r="A51" s="67">
        <f t="shared" si="0"/>
        <v>51</v>
      </c>
      <c r="B51" s="31"/>
      <c r="C51" s="44"/>
      <c r="E51" s="44"/>
      <c r="H51" s="92"/>
      <c r="I51" s="92"/>
      <c r="J51" s="9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" x14ac:dyDescent="0.3">
      <c r="A52" s="67">
        <f t="shared" si="0"/>
        <v>52</v>
      </c>
      <c r="B52" s="31"/>
      <c r="C52" s="44" t="s">
        <v>58</v>
      </c>
      <c r="E52" s="44"/>
      <c r="H52" s="88">
        <f>+H23</f>
        <v>15</v>
      </c>
      <c r="I52" s="88">
        <f>+I23</f>
        <v>15</v>
      </c>
      <c r="J52" s="88">
        <f>+J23</f>
        <v>15</v>
      </c>
      <c r="K52" s="2"/>
      <c r="L52" s="88">
        <f>+L23</f>
        <v>15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" x14ac:dyDescent="0.3">
      <c r="A53" s="67"/>
      <c r="B53" s="31"/>
      <c r="C53" s="44" t="s">
        <v>122</v>
      </c>
      <c r="E53" s="44"/>
      <c r="H53" s="92">
        <f>SUM(H24:H49)</f>
        <v>8.5940000000000003E-2</v>
      </c>
      <c r="I53" s="92">
        <f>SUM(I24:I49)</f>
        <v>0.10445</v>
      </c>
      <c r="J53" s="92">
        <f>SUM(J24:J49)</f>
        <v>0.1074</v>
      </c>
      <c r="K53" s="2"/>
      <c r="L53" s="92">
        <f>SUM(L24:L49)</f>
        <v>0.1072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" x14ac:dyDescent="0.3">
      <c r="A54" s="67"/>
      <c r="B54" s="31"/>
      <c r="C54" s="44" t="s">
        <v>123</v>
      </c>
      <c r="E54" s="44"/>
      <c r="H54" s="92">
        <f>+H50</f>
        <v>0.15676999999999999</v>
      </c>
      <c r="I54" s="92">
        <f>+I50</f>
        <v>0.15676999999999999</v>
      </c>
      <c r="J54" s="92">
        <f>+J50</f>
        <v>0.15676999999999999</v>
      </c>
      <c r="K54" s="2"/>
      <c r="L54" s="92">
        <f>+L50</f>
        <v>0.15676999999999999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" x14ac:dyDescent="0.3">
      <c r="A55" s="31"/>
      <c r="B55" s="31"/>
      <c r="E55" s="44"/>
      <c r="F55" s="132"/>
    </row>
    <row r="56" spans="1:23" ht="14" x14ac:dyDescent="0.3">
      <c r="A56" s="31"/>
      <c r="B56" s="31"/>
    </row>
    <row r="57" spans="1:23" ht="14" x14ac:dyDescent="0.3">
      <c r="A57" s="31"/>
      <c r="B57" s="31"/>
    </row>
    <row r="58" spans="1:23" ht="14" x14ac:dyDescent="0.3">
      <c r="A58" s="31"/>
      <c r="B58" s="31"/>
    </row>
    <row r="59" spans="1:23" ht="14" x14ac:dyDescent="0.3">
      <c r="A59" s="31"/>
      <c r="B59" s="31"/>
    </row>
    <row r="60" spans="1:23" ht="14" x14ac:dyDescent="0.3">
      <c r="A60" s="31"/>
      <c r="B60" s="31"/>
    </row>
    <row r="61" spans="1:23" ht="14" x14ac:dyDescent="0.3">
      <c r="A61" s="31"/>
      <c r="B61" s="31"/>
    </row>
    <row r="62" spans="1:23" ht="14" x14ac:dyDescent="0.3">
      <c r="A62" s="31"/>
      <c r="B62" s="31"/>
    </row>
    <row r="63" spans="1:23" ht="14" x14ac:dyDescent="0.3">
      <c r="A63" s="31"/>
      <c r="B63" s="31"/>
    </row>
    <row r="64" spans="1:23" ht="14" x14ac:dyDescent="0.3">
      <c r="A64" s="31"/>
      <c r="B64" s="31"/>
    </row>
    <row r="65" spans="1:2" ht="14" x14ac:dyDescent="0.3">
      <c r="A65" s="31"/>
      <c r="B65" s="31"/>
    </row>
    <row r="66" spans="1:2" ht="14" x14ac:dyDescent="0.3">
      <c r="A66" s="31"/>
      <c r="B66" s="31"/>
    </row>
    <row r="67" spans="1:2" ht="14" x14ac:dyDescent="0.3">
      <c r="A67" s="31"/>
      <c r="B67" s="31"/>
    </row>
    <row r="68" spans="1:2" ht="14" x14ac:dyDescent="0.3">
      <c r="A68" s="31"/>
      <c r="B68" s="31"/>
    </row>
    <row r="69" spans="1:2" ht="14" x14ac:dyDescent="0.3">
      <c r="A69" s="31"/>
      <c r="B69" s="31"/>
    </row>
    <row r="70" spans="1:2" ht="14" x14ac:dyDescent="0.3">
      <c r="A70" s="31"/>
      <c r="B70" s="31"/>
    </row>
    <row r="71" spans="1:2" ht="14" x14ac:dyDescent="0.3">
      <c r="A71" s="31"/>
      <c r="B71" s="31"/>
    </row>
    <row r="72" spans="1:2" ht="14" x14ac:dyDescent="0.3">
      <c r="A72" s="31"/>
      <c r="B72" s="31"/>
    </row>
    <row r="73" spans="1:2" ht="14" x14ac:dyDescent="0.3">
      <c r="A73" s="31"/>
      <c r="B73" s="31"/>
    </row>
    <row r="74" spans="1:2" ht="14" x14ac:dyDescent="0.3">
      <c r="A74" s="31"/>
      <c r="B74" s="31"/>
    </row>
    <row r="75" spans="1:2" ht="14" x14ac:dyDescent="0.3">
      <c r="A75" s="31"/>
      <c r="B75" s="31"/>
    </row>
    <row r="76" spans="1:2" ht="14" x14ac:dyDescent="0.3">
      <c r="A76" s="31"/>
      <c r="B76" s="31"/>
    </row>
    <row r="77" spans="1:2" ht="14" x14ac:dyDescent="0.3">
      <c r="A77" s="31"/>
      <c r="B77" s="31"/>
    </row>
    <row r="78" spans="1:2" ht="14" x14ac:dyDescent="0.3">
      <c r="A78" s="31"/>
      <c r="B78" s="31"/>
    </row>
    <row r="79" spans="1:2" ht="14" x14ac:dyDescent="0.3">
      <c r="A79" s="31"/>
      <c r="B79" s="31"/>
    </row>
    <row r="80" spans="1:2" ht="14" x14ac:dyDescent="0.3">
      <c r="A80" s="31"/>
      <c r="B80" s="31"/>
    </row>
    <row r="81" spans="1:2" ht="14" x14ac:dyDescent="0.3">
      <c r="A81" s="31"/>
      <c r="B81" s="31"/>
    </row>
    <row r="82" spans="1:2" ht="14" x14ac:dyDescent="0.3">
      <c r="A82" s="31"/>
      <c r="B82" s="31"/>
    </row>
    <row r="83" spans="1:2" ht="14" x14ac:dyDescent="0.3">
      <c r="A83" s="31"/>
      <c r="B83" s="31"/>
    </row>
    <row r="84" spans="1:2" ht="14" x14ac:dyDescent="0.3">
      <c r="A84" s="31"/>
      <c r="B84" s="31"/>
    </row>
    <row r="85" spans="1:2" ht="14" x14ac:dyDescent="0.3">
      <c r="A85" s="31"/>
      <c r="B85" s="31"/>
    </row>
    <row r="86" spans="1:2" ht="14" x14ac:dyDescent="0.3">
      <c r="A86" s="31"/>
      <c r="B86" s="31"/>
    </row>
    <row r="87" spans="1:2" ht="14" x14ac:dyDescent="0.3">
      <c r="A87" s="31"/>
      <c r="B87" s="31"/>
    </row>
    <row r="88" spans="1:2" ht="14" x14ac:dyDescent="0.3">
      <c r="A88" s="31"/>
      <c r="B88" s="31"/>
    </row>
    <row r="89" spans="1:2" ht="14" x14ac:dyDescent="0.3">
      <c r="A89" s="31"/>
      <c r="B89" s="31"/>
    </row>
    <row r="90" spans="1:2" ht="14" x14ac:dyDescent="0.3">
      <c r="A90" s="31"/>
      <c r="B90" s="31"/>
    </row>
    <row r="91" spans="1:2" ht="14" x14ac:dyDescent="0.3">
      <c r="A91" s="31"/>
      <c r="B91" s="31"/>
    </row>
    <row r="92" spans="1:2" ht="14" x14ac:dyDescent="0.3">
      <c r="A92" s="31"/>
      <c r="B92" s="31"/>
    </row>
    <row r="93" spans="1:2" ht="14" x14ac:dyDescent="0.3">
      <c r="A93" s="31"/>
      <c r="B93" s="31"/>
    </row>
    <row r="94" spans="1:2" ht="14" x14ac:dyDescent="0.3">
      <c r="A94" s="31"/>
      <c r="B94" s="31"/>
    </row>
    <row r="95" spans="1:2" ht="14" x14ac:dyDescent="0.3">
      <c r="A95" s="31"/>
      <c r="B95" s="31"/>
    </row>
    <row r="96" spans="1:2" ht="14" x14ac:dyDescent="0.3">
      <c r="A96" s="31"/>
      <c r="B96" s="31"/>
    </row>
    <row r="97" spans="1:22" ht="14" x14ac:dyDescent="0.3">
      <c r="A97" s="31"/>
      <c r="B97" s="31"/>
    </row>
    <row r="98" spans="1:22" ht="14" x14ac:dyDescent="0.3">
      <c r="A98" s="31"/>
      <c r="B98" s="31"/>
    </row>
    <row r="99" spans="1:22" ht="14" x14ac:dyDescent="0.3">
      <c r="A99" s="31"/>
      <c r="B99" s="31"/>
    </row>
    <row r="100" spans="1:22" ht="14" x14ac:dyDescent="0.3">
      <c r="A100" s="31"/>
      <c r="B100" s="31"/>
    </row>
    <row r="101" spans="1:22" ht="14" x14ac:dyDescent="0.3">
      <c r="A101" s="31"/>
      <c r="B101" s="31"/>
    </row>
    <row r="102" spans="1:22" ht="14" x14ac:dyDescent="0.3">
      <c r="A102" s="31"/>
      <c r="B102" s="31"/>
    </row>
    <row r="103" spans="1:22" ht="14" x14ac:dyDescent="0.3">
      <c r="A103" s="31"/>
      <c r="B103" s="31"/>
    </row>
    <row r="104" spans="1:22" ht="14" x14ac:dyDescent="0.3">
      <c r="A104" s="31"/>
      <c r="B104" s="31"/>
      <c r="C104" s="169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</row>
    <row r="105" spans="1:22" ht="14" x14ac:dyDescent="0.3">
      <c r="A105" s="31"/>
      <c r="B105" s="31"/>
      <c r="C105" s="145"/>
      <c r="D105" s="146"/>
      <c r="E105" s="146"/>
      <c r="F105" s="146"/>
      <c r="G105" s="147"/>
      <c r="H105" s="146"/>
      <c r="I105" s="146"/>
      <c r="J105" s="146"/>
      <c r="K105" s="147"/>
      <c r="L105" s="146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</row>
    <row r="106" spans="1:22" ht="14" x14ac:dyDescent="0.3">
      <c r="A106" s="31"/>
      <c r="B106" s="31"/>
    </row>
    <row r="107" spans="1:22" ht="14" x14ac:dyDescent="0.3">
      <c r="A107" s="31"/>
      <c r="B107" s="31"/>
      <c r="C107" s="145"/>
      <c r="D107" s="146"/>
      <c r="E107" s="146"/>
      <c r="F107" s="146"/>
      <c r="G107" s="147"/>
      <c r="H107" s="146"/>
      <c r="I107" s="146"/>
      <c r="J107" s="146"/>
      <c r="K107" s="147"/>
      <c r="L107" s="146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</row>
    <row r="108" spans="1:22" ht="14" x14ac:dyDescent="0.3">
      <c r="A108" s="31"/>
      <c r="B108" s="31"/>
    </row>
    <row r="109" spans="1:22" ht="14" x14ac:dyDescent="0.3">
      <c r="A109" s="31"/>
      <c r="B109" s="31"/>
    </row>
    <row r="110" spans="1:22" ht="14" x14ac:dyDescent="0.3">
      <c r="A110" s="31"/>
      <c r="B110" s="31"/>
    </row>
    <row r="111" spans="1:22" ht="14" x14ac:dyDescent="0.3">
      <c r="A111" s="31"/>
      <c r="B111" s="31"/>
    </row>
    <row r="112" spans="1:22" ht="14" x14ac:dyDescent="0.3">
      <c r="A112" s="31"/>
      <c r="B112" s="31"/>
    </row>
    <row r="113" spans="1:2" ht="14" x14ac:dyDescent="0.3">
      <c r="A113" s="31"/>
      <c r="B113" s="31"/>
    </row>
    <row r="114" spans="1:2" ht="14" x14ac:dyDescent="0.3">
      <c r="A114" s="31"/>
      <c r="B114" s="31"/>
    </row>
    <row r="115" spans="1:2" ht="14" x14ac:dyDescent="0.3">
      <c r="A115" s="31"/>
      <c r="B115" s="31"/>
    </row>
    <row r="116" spans="1:2" ht="14" x14ac:dyDescent="0.3">
      <c r="A116" s="31"/>
      <c r="B116" s="31"/>
    </row>
    <row r="117" spans="1:2" ht="14" x14ac:dyDescent="0.3">
      <c r="A117" s="31"/>
      <c r="B117" s="31"/>
    </row>
    <row r="118" spans="1:2" ht="14" x14ac:dyDescent="0.3">
      <c r="A118" s="31"/>
      <c r="B118" s="31"/>
    </row>
    <row r="119" spans="1:2" ht="14" x14ac:dyDescent="0.3">
      <c r="A119" s="31"/>
      <c r="B119" s="31"/>
    </row>
    <row r="120" spans="1:2" ht="14" x14ac:dyDescent="0.3">
      <c r="A120" s="31"/>
      <c r="B120" s="31"/>
    </row>
    <row r="121" spans="1:2" ht="14" x14ac:dyDescent="0.3">
      <c r="A121" s="31"/>
      <c r="B121" s="31"/>
    </row>
    <row r="122" spans="1:2" ht="14" x14ac:dyDescent="0.3">
      <c r="A122" s="31"/>
      <c r="B122" s="31"/>
    </row>
    <row r="123" spans="1:2" ht="14" x14ac:dyDescent="0.3">
      <c r="A123" s="31"/>
      <c r="B123" s="31"/>
    </row>
    <row r="124" spans="1:2" ht="14" x14ac:dyDescent="0.3">
      <c r="A124" s="31"/>
      <c r="B124" s="31"/>
    </row>
    <row r="125" spans="1:2" ht="14" x14ac:dyDescent="0.3">
      <c r="A125" s="31"/>
      <c r="B125" s="31"/>
    </row>
    <row r="126" spans="1:2" ht="14" x14ac:dyDescent="0.3">
      <c r="A126" s="31"/>
      <c r="B126" s="31"/>
    </row>
    <row r="127" spans="1:2" ht="14" x14ac:dyDescent="0.3">
      <c r="A127" s="31"/>
      <c r="B127" s="31"/>
    </row>
    <row r="128" spans="1:2" ht="14" x14ac:dyDescent="0.3">
      <c r="A128" s="31"/>
      <c r="B128" s="31"/>
    </row>
    <row r="129" spans="1:2" ht="14" x14ac:dyDescent="0.3">
      <c r="A129" s="31"/>
      <c r="B129" s="31"/>
    </row>
    <row r="130" spans="1:2" ht="14" x14ac:dyDescent="0.3">
      <c r="A130" s="31"/>
      <c r="B130" s="31"/>
    </row>
    <row r="131" spans="1:2" ht="14" x14ac:dyDescent="0.3">
      <c r="A131" s="31"/>
      <c r="B131" s="31"/>
    </row>
    <row r="132" spans="1:2" ht="14" x14ac:dyDescent="0.3">
      <c r="A132" s="31"/>
      <c r="B132" s="31"/>
    </row>
    <row r="133" spans="1:2" ht="14" x14ac:dyDescent="0.3">
      <c r="A133" s="31"/>
      <c r="B133" s="31"/>
    </row>
    <row r="134" spans="1:2" ht="14" x14ac:dyDescent="0.3">
      <c r="A134" s="31"/>
      <c r="B134" s="31"/>
    </row>
    <row r="135" spans="1:2" ht="14" x14ac:dyDescent="0.3">
      <c r="A135" s="31"/>
      <c r="B135" s="31"/>
    </row>
    <row r="136" spans="1:2" ht="14" x14ac:dyDescent="0.3">
      <c r="A136" s="31"/>
      <c r="B136" s="31"/>
    </row>
    <row r="137" spans="1:2" ht="14" x14ac:dyDescent="0.3">
      <c r="A137" s="31"/>
      <c r="B137" s="31"/>
    </row>
    <row r="138" spans="1:2" ht="14" x14ac:dyDescent="0.3">
      <c r="A138" s="31"/>
      <c r="B138" s="31"/>
    </row>
    <row r="139" spans="1:2" ht="14" x14ac:dyDescent="0.3">
      <c r="A139" s="31"/>
      <c r="B139" s="31"/>
    </row>
    <row r="140" spans="1:2" ht="14" x14ac:dyDescent="0.3">
      <c r="A140" s="31"/>
      <c r="B140" s="31"/>
    </row>
    <row r="141" spans="1:2" ht="14" x14ac:dyDescent="0.3">
      <c r="A141" s="31"/>
      <c r="B141" s="31"/>
    </row>
    <row r="142" spans="1:2" ht="14" x14ac:dyDescent="0.3">
      <c r="A142" s="31"/>
      <c r="B142" s="31"/>
    </row>
    <row r="143" spans="1:2" ht="14" x14ac:dyDescent="0.3">
      <c r="A143" s="31"/>
      <c r="B143" s="31"/>
    </row>
    <row r="144" spans="1:2" ht="14" x14ac:dyDescent="0.3">
      <c r="A144" s="31"/>
      <c r="B144" s="31"/>
    </row>
    <row r="145" spans="1:2" ht="14" x14ac:dyDescent="0.3">
      <c r="A145" s="31"/>
      <c r="B145" s="31"/>
    </row>
    <row r="146" spans="1:2" ht="14" x14ac:dyDescent="0.3">
      <c r="A146" s="31"/>
      <c r="B146" s="31"/>
    </row>
    <row r="147" spans="1:2" ht="14" x14ac:dyDescent="0.3">
      <c r="A147" s="31"/>
      <c r="B147" s="31"/>
    </row>
    <row r="148" spans="1:2" ht="14" x14ac:dyDescent="0.3">
      <c r="A148" s="31"/>
      <c r="B148" s="31"/>
    </row>
    <row r="149" spans="1:2" ht="14" x14ac:dyDescent="0.3">
      <c r="A149" s="31"/>
      <c r="B149" s="31"/>
    </row>
    <row r="150" spans="1:2" ht="14" x14ac:dyDescent="0.3">
      <c r="A150" s="31"/>
      <c r="B150" s="31"/>
    </row>
    <row r="151" spans="1:2" ht="14" x14ac:dyDescent="0.3">
      <c r="A151" s="31"/>
      <c r="B151" s="31"/>
    </row>
    <row r="152" spans="1:2" ht="14" x14ac:dyDescent="0.3">
      <c r="A152" s="31"/>
      <c r="B152" s="31"/>
    </row>
    <row r="153" spans="1:2" ht="14" x14ac:dyDescent="0.3">
      <c r="A153" s="31"/>
      <c r="B153" s="31"/>
    </row>
    <row r="154" spans="1:2" ht="14" x14ac:dyDescent="0.3">
      <c r="A154" s="31"/>
      <c r="B154" s="31"/>
    </row>
    <row r="155" spans="1:2" ht="14" x14ac:dyDescent="0.3">
      <c r="A155" s="31"/>
      <c r="B155" s="31"/>
    </row>
    <row r="156" spans="1:2" ht="14" x14ac:dyDescent="0.3">
      <c r="A156" s="31"/>
      <c r="B156" s="31"/>
    </row>
    <row r="157" spans="1:2" ht="14" x14ac:dyDescent="0.3">
      <c r="A157" s="31"/>
      <c r="B157" s="31"/>
    </row>
    <row r="158" spans="1:2" ht="14" x14ac:dyDescent="0.3">
      <c r="A158" s="31"/>
      <c r="B158" s="31"/>
    </row>
  </sheetData>
  <mergeCells count="7">
    <mergeCell ref="Z11:AA11"/>
    <mergeCell ref="D11:F11"/>
    <mergeCell ref="H11:J11"/>
    <mergeCell ref="L11:M11"/>
    <mergeCell ref="O11:Q11"/>
    <mergeCell ref="S11:T11"/>
    <mergeCell ref="V11:X11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652-4496-4E15-9BA9-0560CFE2639A}">
  <sheetPr>
    <tabColor theme="3" tint="0.59999389629810485"/>
    <pageSetUpPr fitToPage="1"/>
  </sheetPr>
  <dimension ref="A1:AC136"/>
  <sheetViews>
    <sheetView zoomScaleNormal="100" workbookViewId="0"/>
  </sheetViews>
  <sheetFormatPr defaultColWidth="8.7265625" defaultRowHeight="14" x14ac:dyDescent="0.3"/>
  <cols>
    <col min="1" max="1" width="4" style="2" customWidth="1"/>
    <col min="2" max="2" width="4.453125" style="2" bestFit="1" customWidth="1"/>
    <col min="3" max="6" width="11.81640625" style="2" customWidth="1"/>
    <col min="7" max="7" width="2" style="2" customWidth="1"/>
    <col min="8" max="10" width="11.81640625" style="2" customWidth="1"/>
    <col min="11" max="11" width="2" style="2" customWidth="1"/>
    <col min="12" max="13" width="11.81640625" style="2" customWidth="1"/>
    <col min="14" max="14" width="2" style="2" customWidth="1"/>
    <col min="15" max="17" width="11.81640625" style="2" customWidth="1"/>
    <col min="18" max="18" width="2" style="2" customWidth="1"/>
    <col min="19" max="20" width="11.81640625" style="2" customWidth="1"/>
    <col min="21" max="21" width="2" style="2" customWidth="1"/>
    <col min="22" max="24" width="11.81640625" style="2" customWidth="1"/>
    <col min="25" max="25" width="2" style="2" customWidth="1"/>
    <col min="26" max="27" width="11.81640625" style="2" customWidth="1"/>
    <col min="28" max="16384" width="8.7265625" style="2"/>
  </cols>
  <sheetData>
    <row r="1" spans="1:29" x14ac:dyDescent="0.3">
      <c r="A1" s="1">
        <v>1</v>
      </c>
    </row>
    <row r="2" spans="1:29" x14ac:dyDescent="0.3">
      <c r="A2" s="1">
        <f>A1+1</f>
        <v>2</v>
      </c>
    </row>
    <row r="3" spans="1:29" x14ac:dyDescent="0.3">
      <c r="A3" s="1">
        <f t="shared" ref="A3:A56" si="0">A2+1</f>
        <v>3</v>
      </c>
      <c r="B3" s="24" t="s">
        <v>40</v>
      </c>
    </row>
    <row r="4" spans="1:29" x14ac:dyDescent="0.3">
      <c r="A4" s="1">
        <f t="shared" si="0"/>
        <v>4</v>
      </c>
      <c r="B4" s="24" t="s">
        <v>41</v>
      </c>
      <c r="C4" s="44"/>
      <c r="D4" s="149"/>
      <c r="E4" s="44"/>
      <c r="F4" s="132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9" x14ac:dyDescent="0.3">
      <c r="A5" s="1">
        <f t="shared" si="0"/>
        <v>5</v>
      </c>
      <c r="B5" s="24"/>
      <c r="C5" s="44"/>
      <c r="D5" s="149"/>
      <c r="E5" s="44"/>
      <c r="F5" s="132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9" x14ac:dyDescent="0.3">
      <c r="A6" s="1">
        <f t="shared" si="0"/>
        <v>6</v>
      </c>
      <c r="B6" s="24" t="s">
        <v>135</v>
      </c>
      <c r="C6" s="44"/>
      <c r="D6" s="149"/>
      <c r="E6" s="44"/>
      <c r="F6" s="13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9" x14ac:dyDescent="0.3">
      <c r="A7" s="1">
        <f t="shared" si="0"/>
        <v>7</v>
      </c>
      <c r="B7" s="24" t="s">
        <v>154</v>
      </c>
      <c r="C7" s="44"/>
      <c r="D7" s="149"/>
      <c r="E7" s="44"/>
      <c r="F7" s="132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9" x14ac:dyDescent="0.3">
      <c r="A8" s="1">
        <f t="shared" si="0"/>
        <v>8</v>
      </c>
      <c r="B8" s="167"/>
      <c r="C8" s="44"/>
      <c r="D8" s="149"/>
      <c r="E8" s="44"/>
      <c r="F8" s="132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9" x14ac:dyDescent="0.3">
      <c r="A9" s="1">
        <f t="shared" si="0"/>
        <v>9</v>
      </c>
      <c r="B9" s="44"/>
      <c r="C9" s="44"/>
      <c r="D9" s="44"/>
      <c r="E9" s="44"/>
      <c r="F9" s="131"/>
      <c r="G9" s="44"/>
    </row>
    <row r="10" spans="1:29" x14ac:dyDescent="0.3">
      <c r="A10" s="1">
        <f t="shared" si="0"/>
        <v>10</v>
      </c>
      <c r="B10" s="44"/>
      <c r="C10" s="44"/>
      <c r="D10" s="44"/>
      <c r="E10" s="44"/>
      <c r="F10" s="132"/>
      <c r="G10" s="44"/>
    </row>
    <row r="11" spans="1:29" x14ac:dyDescent="0.3">
      <c r="A11" s="1">
        <f t="shared" si="0"/>
        <v>11</v>
      </c>
      <c r="B11" s="31"/>
      <c r="C11" s="104" t="s">
        <v>2</v>
      </c>
      <c r="D11" s="32" t="str">
        <f>'EMA R1'!D10</f>
        <v>2024 Monthly Bill</v>
      </c>
      <c r="E11" s="32"/>
      <c r="F11" s="32"/>
      <c r="G11" s="133"/>
      <c r="H11" s="32" t="str">
        <f>'EMA R1'!H10</f>
        <v>2025 Illustrative Monthly Bill</v>
      </c>
      <c r="I11" s="32"/>
      <c r="J11" s="32"/>
      <c r="K11" s="23"/>
      <c r="L11" s="32" t="str">
        <f>'EMA R1'!L10</f>
        <v>2025 vs. 2024</v>
      </c>
      <c r="M11" s="32"/>
      <c r="N11" s="27"/>
      <c r="O11" s="32" t="str">
        <f>'EMA R1'!O10</f>
        <v>2026 Illustrative Monthly Bill</v>
      </c>
      <c r="P11" s="32"/>
      <c r="Q11" s="32"/>
      <c r="R11" s="133"/>
      <c r="S11" s="32" t="str">
        <f>'EMA R1'!S10</f>
        <v>2026 vs. 2025</v>
      </c>
      <c r="T11" s="32"/>
      <c r="U11" s="23"/>
      <c r="V11" s="32" t="str">
        <f>'EMA R1'!V10</f>
        <v>2027 Illustrative Monthly Bill</v>
      </c>
      <c r="W11" s="32"/>
      <c r="X11" s="32"/>
      <c r="Y11" s="133"/>
      <c r="Z11" s="32" t="str">
        <f>'EMA R1'!Z10</f>
        <v>2027 vs. 2026</v>
      </c>
      <c r="AA11" s="32"/>
      <c r="AB11" s="44"/>
      <c r="AC11" s="44"/>
    </row>
    <row r="12" spans="1:29" x14ac:dyDescent="0.3">
      <c r="A12" s="1">
        <f t="shared" si="0"/>
        <v>12</v>
      </c>
      <c r="B12" s="31"/>
      <c r="C12" s="134" t="s">
        <v>47</v>
      </c>
      <c r="D12" s="34" t="s">
        <v>48</v>
      </c>
      <c r="E12" s="34" t="s">
        <v>49</v>
      </c>
      <c r="F12" s="34" t="s">
        <v>50</v>
      </c>
      <c r="G12" s="34"/>
      <c r="H12" s="34" t="s">
        <v>48</v>
      </c>
      <c r="I12" s="34" t="s">
        <v>49</v>
      </c>
      <c r="J12" s="34" t="s">
        <v>50</v>
      </c>
      <c r="K12" s="23"/>
      <c r="L12" s="34" t="s">
        <v>51</v>
      </c>
      <c r="M12" s="34" t="s">
        <v>14</v>
      </c>
      <c r="N12" s="34"/>
      <c r="O12" s="34" t="s">
        <v>48</v>
      </c>
      <c r="P12" s="34" t="s">
        <v>49</v>
      </c>
      <c r="Q12" s="34" t="s">
        <v>50</v>
      </c>
      <c r="R12" s="34"/>
      <c r="S12" s="34" t="s">
        <v>51</v>
      </c>
      <c r="T12" s="34" t="s">
        <v>14</v>
      </c>
      <c r="U12" s="23"/>
      <c r="V12" s="34" t="s">
        <v>48</v>
      </c>
      <c r="W12" s="34" t="s">
        <v>49</v>
      </c>
      <c r="X12" s="34" t="s">
        <v>50</v>
      </c>
      <c r="Y12" s="34"/>
      <c r="Z12" s="34" t="s">
        <v>51</v>
      </c>
      <c r="AA12" s="34" t="s">
        <v>14</v>
      </c>
      <c r="AB12" s="44"/>
      <c r="AC12" s="44"/>
    </row>
    <row r="13" spans="1:29" x14ac:dyDescent="0.3">
      <c r="A13" s="1">
        <f t="shared" si="0"/>
        <v>13</v>
      </c>
      <c r="B13" s="31"/>
      <c r="C13" s="106">
        <v>1</v>
      </c>
      <c r="D13" s="135">
        <f>ROUND($H$58+($C13*$E$55*$H$59)+($C13*$E$56*$H$60),2)</f>
        <v>20.13</v>
      </c>
      <c r="E13" s="135">
        <f>ROUND($H$61*$C13,2)</f>
        <v>0.16</v>
      </c>
      <c r="F13" s="135">
        <f t="shared" ref="F13:F19" si="1">SUM(D13:E13)</f>
        <v>20.29</v>
      </c>
      <c r="G13" s="136"/>
      <c r="H13" s="135">
        <f>ROUND($I$58+($C13*$E$55*$I$59)+($C13*$E$56*$I$60),2)</f>
        <v>20.149999999999999</v>
      </c>
      <c r="I13" s="135">
        <f>ROUND($I$61*$C13,2)</f>
        <v>0.16</v>
      </c>
      <c r="J13" s="135">
        <f t="shared" ref="J13:J19" si="2">SUM(H13:I13)</f>
        <v>20.309999999999999</v>
      </c>
      <c r="K13" s="136"/>
      <c r="L13" s="135">
        <f>+J13-F13</f>
        <v>1.9999999999999574E-2</v>
      </c>
      <c r="M13" s="137">
        <f>+L13/F13</f>
        <v>9.857072449482294E-4</v>
      </c>
      <c r="N13" s="137"/>
      <c r="O13" s="135">
        <f>ROUND($J$58+($C13*$E$55*$J$59)+($C13*$E$56*$J$60),2)</f>
        <v>20.149999999999999</v>
      </c>
      <c r="P13" s="135">
        <f>ROUND($J$61*$C13,2)</f>
        <v>0.16</v>
      </c>
      <c r="Q13" s="135">
        <f t="shared" ref="Q13:Q19" si="3">SUM(O13:P13)</f>
        <v>20.309999999999999</v>
      </c>
      <c r="R13" s="136"/>
      <c r="S13" s="135">
        <f>+Q13-J13</f>
        <v>0</v>
      </c>
      <c r="T13" s="137">
        <f>+S13/J13</f>
        <v>0</v>
      </c>
      <c r="U13" s="137"/>
      <c r="V13" s="135">
        <f>ROUND($L$58+($C13*$E$55*$L$59)+($C13*$E$56*$L$60),2)</f>
        <v>20.149999999999999</v>
      </c>
      <c r="W13" s="135">
        <f>ROUND($L$61*$C13,2)</f>
        <v>0.16</v>
      </c>
      <c r="X13" s="135">
        <f t="shared" ref="X13:X19" si="4">SUM(V13:W13)</f>
        <v>20.309999999999999</v>
      </c>
      <c r="Y13" s="136"/>
      <c r="Z13" s="135">
        <f>+X13-Q13</f>
        <v>0</v>
      </c>
      <c r="AA13" s="137">
        <f>+Z13/Q13</f>
        <v>0</v>
      </c>
      <c r="AB13" s="136"/>
      <c r="AC13" s="136"/>
    </row>
    <row r="14" spans="1:29" x14ac:dyDescent="0.3">
      <c r="A14" s="1">
        <f t="shared" si="0"/>
        <v>14</v>
      </c>
      <c r="B14" s="31"/>
      <c r="C14" s="106">
        <v>5</v>
      </c>
      <c r="D14" s="135">
        <f t="shared" ref="D14:D19" si="5">ROUND($H$58+($C14*$E$55*$H$59)+($C14*$E$56*$H$60),2)</f>
        <v>20.64</v>
      </c>
      <c r="E14" s="135">
        <f t="shared" ref="E14:E19" si="6">ROUND($H$61*$C14,2)</f>
        <v>0.78</v>
      </c>
      <c r="F14" s="135">
        <f t="shared" si="1"/>
        <v>21.42</v>
      </c>
      <c r="G14" s="136"/>
      <c r="H14" s="135">
        <f>ROUND($I$58+($C14*$E$55*$I$59)+($C14*$E$56*$I$60),2)</f>
        <v>20.73</v>
      </c>
      <c r="I14" s="135">
        <f t="shared" ref="I14:I19" si="7">ROUND($I$61*$C14,2)</f>
        <v>0.78</v>
      </c>
      <c r="J14" s="135">
        <f t="shared" si="2"/>
        <v>21.51</v>
      </c>
      <c r="K14" s="136"/>
      <c r="L14" s="135">
        <f t="shared" ref="L14:L19" si="8">+J14-F14</f>
        <v>8.9999999999999858E-2</v>
      </c>
      <c r="M14" s="137">
        <f t="shared" ref="M14:M19" si="9">+L14/F14</f>
        <v>4.2016806722689004E-3</v>
      </c>
      <c r="N14" s="137"/>
      <c r="O14" s="135">
        <f t="shared" ref="O14:O19" si="10">ROUND($J$58+($C14*$E$55*$J$59)+($C14*$E$56*$J$60),2)</f>
        <v>20.75</v>
      </c>
      <c r="P14" s="135">
        <f t="shared" ref="P14:P19" si="11">ROUND($J$61*$C14,2)</f>
        <v>0.78</v>
      </c>
      <c r="Q14" s="135">
        <f t="shared" si="3"/>
        <v>21.53</v>
      </c>
      <c r="R14" s="136"/>
      <c r="S14" s="135">
        <f>+Q14-J14</f>
        <v>1.9999999999999574E-2</v>
      </c>
      <c r="T14" s="137">
        <f t="shared" ref="T14:T19" si="12">+S14/J14</f>
        <v>9.2980009297998943E-4</v>
      </c>
      <c r="U14" s="137"/>
      <c r="V14" s="135">
        <f>ROUND($L$58+($C14*$E$55*$L$59)+($C14*$E$56*$L$60),2)</f>
        <v>20.75</v>
      </c>
      <c r="W14" s="135">
        <f t="shared" ref="W14:W19" si="13">ROUND($L$61*$C14,2)</f>
        <v>0.78</v>
      </c>
      <c r="X14" s="135">
        <f t="shared" si="4"/>
        <v>21.53</v>
      </c>
      <c r="Y14" s="136"/>
      <c r="Z14" s="135">
        <f t="shared" ref="Z14:Z19" si="14">+X14-Q14</f>
        <v>0</v>
      </c>
      <c r="AA14" s="137">
        <f t="shared" ref="AA14:AA19" si="15">+Z14/Q14</f>
        <v>0</v>
      </c>
      <c r="AB14" s="136"/>
      <c r="AC14" s="136"/>
    </row>
    <row r="15" spans="1:29" x14ac:dyDescent="0.3">
      <c r="A15" s="1">
        <f t="shared" si="0"/>
        <v>15</v>
      </c>
      <c r="B15" s="31"/>
      <c r="C15" s="106">
        <v>25</v>
      </c>
      <c r="D15" s="135">
        <f>ROUND($H$58+($C15*$E$55*$H$59)+($C15*$E$56*$H$60),2)</f>
        <v>23.21</v>
      </c>
      <c r="E15" s="135">
        <f t="shared" si="6"/>
        <v>3.92</v>
      </c>
      <c r="F15" s="135">
        <f t="shared" si="1"/>
        <v>27.130000000000003</v>
      </c>
      <c r="G15" s="136"/>
      <c r="H15" s="135">
        <f t="shared" ref="H15:H19" si="16">ROUND($I$58+($C15*$E$55*$I$59)+($C15*$E$56*$I$60),2)</f>
        <v>23.67</v>
      </c>
      <c r="I15" s="135">
        <f t="shared" si="7"/>
        <v>3.92</v>
      </c>
      <c r="J15" s="135">
        <f t="shared" si="2"/>
        <v>27.590000000000003</v>
      </c>
      <c r="K15" s="136"/>
      <c r="L15" s="135">
        <f t="shared" si="8"/>
        <v>0.46000000000000085</v>
      </c>
      <c r="M15" s="137">
        <f t="shared" si="9"/>
        <v>1.6955399926280899E-2</v>
      </c>
      <c r="N15" s="137"/>
      <c r="O15" s="135">
        <f>ROUND($J$58+($C15*$E$55*$J$59)+($C15*$E$56*$J$60),2)</f>
        <v>23.74</v>
      </c>
      <c r="P15" s="135">
        <f t="shared" si="11"/>
        <v>3.92</v>
      </c>
      <c r="Q15" s="135">
        <f t="shared" si="3"/>
        <v>27.659999999999997</v>
      </c>
      <c r="R15" s="136"/>
      <c r="S15" s="135">
        <f t="shared" ref="S15:S19" si="17">+Q15-J15</f>
        <v>6.9999999999993179E-2</v>
      </c>
      <c r="T15" s="137">
        <f t="shared" si="12"/>
        <v>2.5371511417177661E-3</v>
      </c>
      <c r="U15" s="137"/>
      <c r="V15" s="135">
        <f t="shared" ref="V15:V19" si="18">ROUND($L$58+($C15*$E$55*$L$59)+($C15*$E$56*$L$60),2)</f>
        <v>23.74</v>
      </c>
      <c r="W15" s="135">
        <f t="shared" si="13"/>
        <v>3.92</v>
      </c>
      <c r="X15" s="135">
        <f t="shared" si="4"/>
        <v>27.659999999999997</v>
      </c>
      <c r="Y15" s="136"/>
      <c r="Z15" s="135">
        <f t="shared" si="14"/>
        <v>0</v>
      </c>
      <c r="AA15" s="137">
        <f t="shared" si="15"/>
        <v>0</v>
      </c>
      <c r="AB15" s="136"/>
      <c r="AC15" s="136"/>
    </row>
    <row r="16" spans="1:29" x14ac:dyDescent="0.3">
      <c r="A16" s="1">
        <f t="shared" si="0"/>
        <v>16</v>
      </c>
      <c r="B16" s="31"/>
      <c r="C16" s="106">
        <v>50</v>
      </c>
      <c r="D16" s="135">
        <f t="shared" si="5"/>
        <v>26.42</v>
      </c>
      <c r="E16" s="135">
        <f t="shared" si="6"/>
        <v>7.84</v>
      </c>
      <c r="F16" s="135">
        <f t="shared" si="1"/>
        <v>34.260000000000005</v>
      </c>
      <c r="G16" s="136"/>
      <c r="H16" s="135">
        <f t="shared" si="16"/>
        <v>27.34</v>
      </c>
      <c r="I16" s="135">
        <f t="shared" si="7"/>
        <v>7.84</v>
      </c>
      <c r="J16" s="135">
        <f t="shared" si="2"/>
        <v>35.18</v>
      </c>
      <c r="K16" s="136"/>
      <c r="L16" s="135">
        <f t="shared" si="8"/>
        <v>0.9199999999999946</v>
      </c>
      <c r="M16" s="137">
        <f t="shared" si="9"/>
        <v>2.685347343841198E-2</v>
      </c>
      <c r="N16" s="137"/>
      <c r="O16" s="135">
        <f t="shared" si="10"/>
        <v>27.49</v>
      </c>
      <c r="P16" s="135">
        <f t="shared" si="11"/>
        <v>7.84</v>
      </c>
      <c r="Q16" s="135">
        <f t="shared" si="3"/>
        <v>35.33</v>
      </c>
      <c r="R16" s="136"/>
      <c r="S16" s="135">
        <f t="shared" si="17"/>
        <v>0.14999999999999858</v>
      </c>
      <c r="T16" s="137">
        <f t="shared" si="12"/>
        <v>4.2637862421830179E-3</v>
      </c>
      <c r="U16" s="137"/>
      <c r="V16" s="135">
        <f t="shared" si="18"/>
        <v>27.48</v>
      </c>
      <c r="W16" s="135">
        <f t="shared" si="13"/>
        <v>7.84</v>
      </c>
      <c r="X16" s="135">
        <f t="shared" si="4"/>
        <v>35.32</v>
      </c>
      <c r="Y16" s="136"/>
      <c r="Z16" s="135">
        <f t="shared" si="14"/>
        <v>-9.9999999999980105E-3</v>
      </c>
      <c r="AA16" s="137">
        <f t="shared" si="15"/>
        <v>-2.8304557033676794E-4</v>
      </c>
      <c r="AB16" s="136"/>
      <c r="AC16" s="136"/>
    </row>
    <row r="17" spans="1:29" x14ac:dyDescent="0.3">
      <c r="A17" s="1">
        <f t="shared" si="0"/>
        <v>17</v>
      </c>
      <c r="B17" s="31"/>
      <c r="C17" s="106">
        <v>100</v>
      </c>
      <c r="D17" s="135">
        <f t="shared" si="5"/>
        <v>32.83</v>
      </c>
      <c r="E17" s="135">
        <f t="shared" si="6"/>
        <v>15.68</v>
      </c>
      <c r="F17" s="135">
        <f t="shared" si="1"/>
        <v>48.51</v>
      </c>
      <c r="G17" s="136"/>
      <c r="H17" s="135">
        <f t="shared" si="16"/>
        <v>34.68</v>
      </c>
      <c r="I17" s="135">
        <f>ROUND($I$61*$C17,2)</f>
        <v>15.68</v>
      </c>
      <c r="J17" s="135">
        <f t="shared" si="2"/>
        <v>50.36</v>
      </c>
      <c r="K17" s="136"/>
      <c r="L17" s="135">
        <f t="shared" si="8"/>
        <v>1.8500000000000014</v>
      </c>
      <c r="M17" s="137">
        <f t="shared" si="9"/>
        <v>3.8136466707895313E-2</v>
      </c>
      <c r="N17" s="137"/>
      <c r="O17" s="135">
        <f t="shared" si="10"/>
        <v>34.979999999999997</v>
      </c>
      <c r="P17" s="135">
        <f>ROUND($J$61*$C17,2)</f>
        <v>15.68</v>
      </c>
      <c r="Q17" s="135">
        <f t="shared" si="3"/>
        <v>50.66</v>
      </c>
      <c r="R17" s="136"/>
      <c r="S17" s="135">
        <f t="shared" si="17"/>
        <v>0.29999999999999716</v>
      </c>
      <c r="T17" s="137">
        <f t="shared" si="12"/>
        <v>5.9571088165209923E-3</v>
      </c>
      <c r="U17" s="137"/>
      <c r="V17" s="135">
        <f t="shared" si="18"/>
        <v>34.96</v>
      </c>
      <c r="W17" s="135">
        <f>ROUND($L$61*$C17,2)</f>
        <v>15.68</v>
      </c>
      <c r="X17" s="135">
        <f t="shared" si="4"/>
        <v>50.64</v>
      </c>
      <c r="Y17" s="136"/>
      <c r="Z17" s="135">
        <f t="shared" si="14"/>
        <v>-1.9999999999996021E-2</v>
      </c>
      <c r="AA17" s="137">
        <f t="shared" si="15"/>
        <v>-3.9478878799834233E-4</v>
      </c>
      <c r="AB17" s="136"/>
      <c r="AC17" s="136"/>
    </row>
    <row r="18" spans="1:29" x14ac:dyDescent="0.3">
      <c r="A18" s="1">
        <f t="shared" si="0"/>
        <v>18</v>
      </c>
      <c r="B18" s="31"/>
      <c r="C18" s="106">
        <v>150</v>
      </c>
      <c r="D18" s="135">
        <f t="shared" si="5"/>
        <v>39.25</v>
      </c>
      <c r="E18" s="135">
        <f>ROUND($H$61*$C18,2)</f>
        <v>23.52</v>
      </c>
      <c r="F18" s="135">
        <f t="shared" si="1"/>
        <v>62.769999999999996</v>
      </c>
      <c r="G18" s="136"/>
      <c r="H18" s="135">
        <f t="shared" si="16"/>
        <v>42.02</v>
      </c>
      <c r="I18" s="135">
        <f t="shared" si="7"/>
        <v>23.52</v>
      </c>
      <c r="J18" s="135">
        <f t="shared" si="2"/>
        <v>65.540000000000006</v>
      </c>
      <c r="K18" s="136"/>
      <c r="L18" s="135">
        <f t="shared" si="8"/>
        <v>2.7700000000000102</v>
      </c>
      <c r="M18" s="137">
        <f t="shared" si="9"/>
        <v>4.4129361159789875E-2</v>
      </c>
      <c r="N18" s="137"/>
      <c r="O18" s="135">
        <f t="shared" si="10"/>
        <v>42.46</v>
      </c>
      <c r="P18" s="135">
        <f t="shared" si="11"/>
        <v>23.52</v>
      </c>
      <c r="Q18" s="135">
        <f t="shared" si="3"/>
        <v>65.98</v>
      </c>
      <c r="R18" s="136"/>
      <c r="S18" s="135">
        <f t="shared" si="17"/>
        <v>0.43999999999999773</v>
      </c>
      <c r="T18" s="137">
        <f t="shared" si="12"/>
        <v>6.7134574305767114E-3</v>
      </c>
      <c r="U18" s="137"/>
      <c r="V18" s="135">
        <f t="shared" si="18"/>
        <v>42.43</v>
      </c>
      <c r="W18" s="135">
        <f t="shared" si="13"/>
        <v>23.52</v>
      </c>
      <c r="X18" s="135">
        <f t="shared" si="4"/>
        <v>65.95</v>
      </c>
      <c r="Y18" s="136"/>
      <c r="Z18" s="135">
        <f t="shared" si="14"/>
        <v>-3.0000000000001137E-2</v>
      </c>
      <c r="AA18" s="137">
        <f t="shared" si="15"/>
        <v>-4.5468323734466708E-4</v>
      </c>
      <c r="AB18" s="136"/>
      <c r="AC18" s="136"/>
    </row>
    <row r="19" spans="1:29" x14ac:dyDescent="0.3">
      <c r="A19" s="1">
        <f t="shared" si="0"/>
        <v>19</v>
      </c>
      <c r="B19" s="31" t="s">
        <v>52</v>
      </c>
      <c r="C19" s="106">
        <v>3.5</v>
      </c>
      <c r="D19" s="135">
        <f t="shared" si="5"/>
        <v>20.45</v>
      </c>
      <c r="E19" s="135">
        <f t="shared" si="6"/>
        <v>0.55000000000000004</v>
      </c>
      <c r="F19" s="135">
        <f t="shared" si="1"/>
        <v>21</v>
      </c>
      <c r="G19" s="136"/>
      <c r="H19" s="135">
        <f t="shared" si="16"/>
        <v>20.51</v>
      </c>
      <c r="I19" s="135">
        <f t="shared" si="7"/>
        <v>0.55000000000000004</v>
      </c>
      <c r="J19" s="135">
        <f t="shared" si="2"/>
        <v>21.060000000000002</v>
      </c>
      <c r="K19" s="136"/>
      <c r="L19" s="135">
        <f t="shared" si="8"/>
        <v>6.0000000000002274E-2</v>
      </c>
      <c r="M19" s="137">
        <f t="shared" si="9"/>
        <v>2.8571428571429656E-3</v>
      </c>
      <c r="N19" s="137"/>
      <c r="O19" s="135">
        <f t="shared" si="10"/>
        <v>20.52</v>
      </c>
      <c r="P19" s="135">
        <f t="shared" si="11"/>
        <v>0.55000000000000004</v>
      </c>
      <c r="Q19" s="135">
        <f t="shared" si="3"/>
        <v>21.07</v>
      </c>
      <c r="R19" s="136"/>
      <c r="S19" s="135">
        <f t="shared" si="17"/>
        <v>9.9999999999980105E-3</v>
      </c>
      <c r="T19" s="137">
        <f t="shared" si="12"/>
        <v>4.7483380816704698E-4</v>
      </c>
      <c r="U19" s="137"/>
      <c r="V19" s="135">
        <f t="shared" si="18"/>
        <v>20.52</v>
      </c>
      <c r="W19" s="135">
        <f t="shared" si="13"/>
        <v>0.55000000000000004</v>
      </c>
      <c r="X19" s="135">
        <f t="shared" si="4"/>
        <v>21.07</v>
      </c>
      <c r="Y19" s="136"/>
      <c r="Z19" s="135">
        <f t="shared" si="14"/>
        <v>0</v>
      </c>
      <c r="AA19" s="137">
        <f t="shared" si="15"/>
        <v>0</v>
      </c>
      <c r="AB19" s="136"/>
      <c r="AC19" s="136"/>
    </row>
    <row r="20" spans="1:29" x14ac:dyDescent="0.3">
      <c r="A20" s="1">
        <f t="shared" si="0"/>
        <v>20</v>
      </c>
      <c r="B20" s="31"/>
      <c r="C20" s="152"/>
      <c r="D20" s="153"/>
      <c r="E20" s="153"/>
      <c r="F20" s="153"/>
      <c r="G20" s="159"/>
      <c r="H20" s="153"/>
      <c r="I20" s="153"/>
      <c r="J20" s="153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X20" s="17"/>
    </row>
    <row r="21" spans="1:29" x14ac:dyDescent="0.3">
      <c r="A21" s="1">
        <f t="shared" si="0"/>
        <v>21</v>
      </c>
      <c r="B21" s="31"/>
      <c r="C21" s="105"/>
      <c r="D21" s="135"/>
      <c r="E21" s="135"/>
      <c r="F21" s="135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X21" s="17"/>
    </row>
    <row r="22" spans="1:29" x14ac:dyDescent="0.3">
      <c r="A22" s="1">
        <f t="shared" si="0"/>
        <v>22</v>
      </c>
      <c r="B22" s="31"/>
      <c r="C22" s="44" t="s">
        <v>53</v>
      </c>
      <c r="E22" s="136"/>
      <c r="G22" s="168"/>
      <c r="H22" s="45">
        <f>'EMA R1'!H28</f>
        <v>2024</v>
      </c>
      <c r="I22" s="45">
        <f>'EMA R1'!I28</f>
        <v>2025</v>
      </c>
      <c r="J22" s="45">
        <f>'EMA R1'!J28</f>
        <v>2026</v>
      </c>
      <c r="K22" s="45"/>
      <c r="L22" s="45">
        <f>'EMA R1'!L28</f>
        <v>2027</v>
      </c>
      <c r="M22" s="45" t="str">
        <f>'EMA R1'!M28</f>
        <v>2025 v 2024</v>
      </c>
      <c r="N22" s="45"/>
      <c r="O22" s="45" t="str">
        <f>'EMA R1'!O28</f>
        <v>2026 v 2025</v>
      </c>
      <c r="P22" s="45" t="str">
        <f>'EMA R1'!P28</f>
        <v>2027 v 2026</v>
      </c>
      <c r="Q22" s="136"/>
      <c r="R22" s="136"/>
      <c r="S22" s="136"/>
      <c r="T22" s="136"/>
      <c r="U22" s="136"/>
      <c r="V22" s="136"/>
    </row>
    <row r="23" spans="1:29" ht="15.5" x14ac:dyDescent="0.45">
      <c r="A23" s="1">
        <f t="shared" si="0"/>
        <v>23</v>
      </c>
      <c r="B23" s="31"/>
      <c r="C23" s="44" t="s">
        <v>53</v>
      </c>
      <c r="E23" s="136"/>
      <c r="G23" s="116"/>
      <c r="H23" s="47" t="str">
        <f>+'BOS G1ND'!H27</f>
        <v>Rates</v>
      </c>
      <c r="I23" s="47" t="s">
        <v>57</v>
      </c>
      <c r="J23" s="47" t="s">
        <v>57</v>
      </c>
      <c r="K23" s="37"/>
      <c r="L23" s="47" t="s">
        <v>57</v>
      </c>
      <c r="M23" s="48" t="s">
        <v>51</v>
      </c>
      <c r="N23" s="22"/>
      <c r="O23" s="48" t="s">
        <v>51</v>
      </c>
      <c r="P23" s="48" t="s">
        <v>51</v>
      </c>
      <c r="Q23" s="136"/>
      <c r="R23" s="136"/>
      <c r="S23" s="136"/>
      <c r="T23" s="136"/>
      <c r="U23" s="136"/>
      <c r="V23" s="136"/>
    </row>
    <row r="24" spans="1:29" x14ac:dyDescent="0.3">
      <c r="A24" s="1">
        <f t="shared" si="0"/>
        <v>24</v>
      </c>
      <c r="B24" s="31"/>
      <c r="C24" s="44" t="s">
        <v>58</v>
      </c>
      <c r="E24" s="136"/>
      <c r="G24" s="142"/>
      <c r="H24" s="88">
        <v>20</v>
      </c>
      <c r="I24" s="49">
        <f t="shared" ref="I24:I53" si="19">+H24</f>
        <v>20</v>
      </c>
      <c r="J24" s="49">
        <f t="shared" ref="J24:J53" si="20">H24</f>
        <v>20</v>
      </c>
      <c r="K24" s="37"/>
      <c r="L24" s="49">
        <f t="shared" ref="L24:L53" si="21">H24</f>
        <v>20</v>
      </c>
      <c r="M24" s="50">
        <f t="shared" ref="M24:M53" si="22">+I24-H24</f>
        <v>0</v>
      </c>
      <c r="N24" s="50"/>
      <c r="O24" s="50">
        <f t="shared" ref="O24:O53" si="23">+J24-I24</f>
        <v>0</v>
      </c>
      <c r="P24" s="50">
        <f t="shared" ref="P24:P53" si="24">+L24-J24</f>
        <v>0</v>
      </c>
      <c r="Q24" s="89" t="s">
        <v>59</v>
      </c>
      <c r="R24" s="136"/>
      <c r="S24" s="136"/>
      <c r="T24" s="136"/>
      <c r="U24" s="136"/>
      <c r="V24" s="136"/>
    </row>
    <row r="25" spans="1:29" x14ac:dyDescent="0.3">
      <c r="A25" s="1">
        <f t="shared" si="0"/>
        <v>25</v>
      </c>
      <c r="B25" s="31"/>
      <c r="C25" s="44" t="s">
        <v>155</v>
      </c>
      <c r="E25" s="136"/>
      <c r="G25" s="92"/>
      <c r="H25" s="91">
        <v>6.3460000000000003E-2</v>
      </c>
      <c r="I25" s="53">
        <f t="shared" si="19"/>
        <v>6.3460000000000003E-2</v>
      </c>
      <c r="J25" s="53">
        <f t="shared" si="20"/>
        <v>6.3460000000000003E-2</v>
      </c>
      <c r="K25" s="37"/>
      <c r="L25" s="53">
        <f t="shared" si="21"/>
        <v>6.3460000000000003E-2</v>
      </c>
      <c r="M25" s="54">
        <f t="shared" si="22"/>
        <v>0</v>
      </c>
      <c r="N25" s="54"/>
      <c r="O25" s="54">
        <f t="shared" si="23"/>
        <v>0</v>
      </c>
      <c r="P25" s="54">
        <f t="shared" si="24"/>
        <v>0</v>
      </c>
      <c r="Q25" s="89" t="s">
        <v>59</v>
      </c>
      <c r="R25" s="136"/>
      <c r="S25" s="136"/>
      <c r="T25" s="136"/>
      <c r="U25" s="136"/>
      <c r="V25" s="136"/>
    </row>
    <row r="26" spans="1:29" x14ac:dyDescent="0.3">
      <c r="A26" s="1">
        <f t="shared" si="0"/>
        <v>26</v>
      </c>
      <c r="B26" s="31"/>
      <c r="C26" s="44" t="s">
        <v>156</v>
      </c>
      <c r="E26" s="136"/>
      <c r="G26" s="92"/>
      <c r="H26" s="91">
        <v>2.3380000000000001E-2</v>
      </c>
      <c r="I26" s="53">
        <f t="shared" si="19"/>
        <v>2.3380000000000001E-2</v>
      </c>
      <c r="J26" s="53">
        <f t="shared" si="20"/>
        <v>2.3380000000000001E-2</v>
      </c>
      <c r="K26" s="37"/>
      <c r="L26" s="53">
        <f t="shared" si="21"/>
        <v>2.3380000000000001E-2</v>
      </c>
      <c r="M26" s="54">
        <f t="shared" si="22"/>
        <v>0</v>
      </c>
      <c r="N26" s="54"/>
      <c r="O26" s="54">
        <f t="shared" si="23"/>
        <v>0</v>
      </c>
      <c r="P26" s="54">
        <f t="shared" si="24"/>
        <v>0</v>
      </c>
      <c r="Q26" s="89" t="s">
        <v>59</v>
      </c>
      <c r="R26" s="136"/>
      <c r="S26" s="136"/>
      <c r="T26" s="136"/>
      <c r="U26" s="136"/>
      <c r="V26" s="136"/>
    </row>
    <row r="27" spans="1:29" x14ac:dyDescent="0.3">
      <c r="A27" s="1">
        <f t="shared" si="0"/>
        <v>27</v>
      </c>
      <c r="B27" s="31"/>
      <c r="C27" s="44" t="str">
        <f>+'BOS G1ND'!C30</f>
        <v>Exogenous Cost Adjustment</v>
      </c>
      <c r="E27" s="136"/>
      <c r="G27" s="92"/>
      <c r="H27" s="91">
        <v>7.5000000000000002E-4</v>
      </c>
      <c r="I27" s="53">
        <f t="shared" si="19"/>
        <v>7.5000000000000002E-4</v>
      </c>
      <c r="J27" s="53">
        <f t="shared" si="20"/>
        <v>7.5000000000000002E-4</v>
      </c>
      <c r="K27" s="37"/>
      <c r="L27" s="53">
        <f t="shared" si="21"/>
        <v>7.5000000000000002E-4</v>
      </c>
      <c r="M27" s="54">
        <f t="shared" si="22"/>
        <v>0</v>
      </c>
      <c r="N27" s="54"/>
      <c r="O27" s="54">
        <f t="shared" si="23"/>
        <v>0</v>
      </c>
      <c r="P27" s="54">
        <f t="shared" si="24"/>
        <v>0</v>
      </c>
      <c r="Q27" s="89" t="str">
        <f>+'BOS G1ND'!Q30</f>
        <v>ECA</v>
      </c>
      <c r="R27" s="136"/>
      <c r="S27" s="136"/>
      <c r="T27" s="136"/>
      <c r="U27" s="136"/>
      <c r="V27" s="136"/>
    </row>
    <row r="28" spans="1:29" x14ac:dyDescent="0.3">
      <c r="A28" s="1">
        <f t="shared" si="0"/>
        <v>28</v>
      </c>
      <c r="B28" s="31"/>
      <c r="C28" s="44" t="str">
        <f>+'BOS G1ND'!C31</f>
        <v>Revenue Decoupling</v>
      </c>
      <c r="E28" s="136"/>
      <c r="G28" s="92"/>
      <c r="H28" s="91">
        <v>4.0000000000000003E-5</v>
      </c>
      <c r="I28" s="53">
        <f t="shared" si="19"/>
        <v>4.0000000000000003E-5</v>
      </c>
      <c r="J28" s="53">
        <f t="shared" si="20"/>
        <v>4.0000000000000003E-5</v>
      </c>
      <c r="K28" s="37"/>
      <c r="L28" s="53">
        <f t="shared" si="21"/>
        <v>4.0000000000000003E-5</v>
      </c>
      <c r="M28" s="54">
        <f t="shared" si="22"/>
        <v>0</v>
      </c>
      <c r="N28" s="54"/>
      <c r="O28" s="54">
        <f t="shared" si="23"/>
        <v>0</v>
      </c>
      <c r="P28" s="54">
        <f t="shared" si="24"/>
        <v>0</v>
      </c>
      <c r="Q28" s="89" t="str">
        <f>+'BOS G1ND'!Q31</f>
        <v>RDAF</v>
      </c>
      <c r="R28" s="136"/>
      <c r="S28" s="136"/>
      <c r="T28" s="136"/>
      <c r="U28" s="136"/>
      <c r="V28" s="136"/>
    </row>
    <row r="29" spans="1:29" x14ac:dyDescent="0.3">
      <c r="A29" s="1">
        <f t="shared" si="0"/>
        <v>29</v>
      </c>
      <c r="B29" s="31"/>
      <c r="C29" s="44" t="str">
        <f>+'BOS G1ND'!C32</f>
        <v>Distributed Solar Charge</v>
      </c>
      <c r="E29" s="136"/>
      <c r="G29" s="92"/>
      <c r="H29" s="91">
        <v>5.8999999999999999E-3</v>
      </c>
      <c r="I29" s="53">
        <f t="shared" si="19"/>
        <v>5.8999999999999999E-3</v>
      </c>
      <c r="J29" s="53">
        <f t="shared" si="20"/>
        <v>5.8999999999999999E-3</v>
      </c>
      <c r="K29" s="37"/>
      <c r="L29" s="53">
        <f t="shared" si="21"/>
        <v>5.8999999999999999E-3</v>
      </c>
      <c r="M29" s="54">
        <f t="shared" si="22"/>
        <v>0</v>
      </c>
      <c r="N29" s="54"/>
      <c r="O29" s="54">
        <f t="shared" si="23"/>
        <v>0</v>
      </c>
      <c r="P29" s="54">
        <f t="shared" si="24"/>
        <v>0</v>
      </c>
      <c r="Q29" s="89" t="str">
        <f>+'BOS G1ND'!Q32</f>
        <v>SMART</v>
      </c>
      <c r="R29" s="136"/>
      <c r="S29" s="136"/>
      <c r="T29" s="136"/>
      <c r="U29" s="136"/>
      <c r="V29" s="136"/>
    </row>
    <row r="30" spans="1:29" x14ac:dyDescent="0.3">
      <c r="A30" s="1">
        <f t="shared" si="0"/>
        <v>30</v>
      </c>
      <c r="B30" s="31"/>
      <c r="C30" s="44" t="str">
        <f>+'BOS G1ND'!C33</f>
        <v>Residential Assistance Adjustment Factor</v>
      </c>
      <c r="E30" s="136"/>
      <c r="G30" s="92"/>
      <c r="H30" s="53">
        <v>6.0200000000000002E-3</v>
      </c>
      <c r="I30" s="53">
        <f t="shared" si="19"/>
        <v>6.0200000000000002E-3</v>
      </c>
      <c r="J30" s="53">
        <f t="shared" si="20"/>
        <v>6.0200000000000002E-3</v>
      </c>
      <c r="K30" s="37"/>
      <c r="L30" s="53">
        <f t="shared" si="21"/>
        <v>6.0200000000000002E-3</v>
      </c>
      <c r="M30" s="54">
        <f t="shared" si="22"/>
        <v>0</v>
      </c>
      <c r="N30" s="54"/>
      <c r="O30" s="54">
        <f t="shared" si="23"/>
        <v>0</v>
      </c>
      <c r="P30" s="54">
        <f t="shared" si="24"/>
        <v>0</v>
      </c>
      <c r="Q30" s="89" t="str">
        <f>+'BOS G1ND'!Q33</f>
        <v>RAAF</v>
      </c>
      <c r="R30" s="136"/>
      <c r="S30" s="136"/>
      <c r="T30" s="136"/>
      <c r="U30" s="136"/>
      <c r="V30" s="136"/>
    </row>
    <row r="31" spans="1:29" x14ac:dyDescent="0.3">
      <c r="A31" s="1">
        <f t="shared" si="0"/>
        <v>31</v>
      </c>
      <c r="B31" s="31"/>
      <c r="C31" s="44" t="str">
        <f>+'BOS G1ND'!C34</f>
        <v>Pension Adjustment Factor</v>
      </c>
      <c r="E31" s="136"/>
      <c r="G31" s="92"/>
      <c r="H31" s="53">
        <v>5.8E-4</v>
      </c>
      <c r="I31" s="53">
        <f t="shared" si="19"/>
        <v>5.8E-4</v>
      </c>
      <c r="J31" s="53">
        <f t="shared" si="20"/>
        <v>5.8E-4</v>
      </c>
      <c r="K31" s="37"/>
      <c r="L31" s="53">
        <f t="shared" si="21"/>
        <v>5.8E-4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89" t="str">
        <f>+'BOS G1ND'!Q34</f>
        <v>PAF</v>
      </c>
      <c r="R31" s="136"/>
      <c r="S31" s="136"/>
      <c r="T31" s="136"/>
      <c r="U31" s="136"/>
      <c r="V31" s="136"/>
    </row>
    <row r="32" spans="1:29" x14ac:dyDescent="0.3">
      <c r="A32" s="1">
        <f t="shared" si="0"/>
        <v>32</v>
      </c>
      <c r="B32" s="31"/>
      <c r="C32" s="44" t="str">
        <f>+'BOS G1ND'!C35</f>
        <v>Net Metering Recovery Surcharge</v>
      </c>
      <c r="E32" s="136"/>
      <c r="G32" s="92"/>
      <c r="H32" s="91">
        <v>1.197E-2</v>
      </c>
      <c r="I32" s="53">
        <f t="shared" si="19"/>
        <v>1.197E-2</v>
      </c>
      <c r="J32" s="53">
        <f t="shared" si="20"/>
        <v>1.197E-2</v>
      </c>
      <c r="K32" s="37"/>
      <c r="L32" s="53">
        <f t="shared" si="21"/>
        <v>1.197E-2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89" t="str">
        <f>+'BOS G1ND'!Q35</f>
        <v>NMRS</v>
      </c>
      <c r="R32" s="136"/>
      <c r="S32" s="136"/>
      <c r="T32" s="136"/>
      <c r="U32" s="136"/>
      <c r="V32" s="136"/>
    </row>
    <row r="33" spans="1:22" x14ac:dyDescent="0.3">
      <c r="A33" s="1">
        <f t="shared" si="0"/>
        <v>33</v>
      </c>
      <c r="B33" s="31"/>
      <c r="C33" s="44" t="str">
        <f>+'BOS G1ND'!C36</f>
        <v>Long Term Renewable Contract Adjustment</v>
      </c>
      <c r="E33" s="136"/>
      <c r="G33" s="92"/>
      <c r="H33" s="53">
        <v>-1.9300000000000001E-3</v>
      </c>
      <c r="I33" s="53">
        <f t="shared" si="19"/>
        <v>-1.9300000000000001E-3</v>
      </c>
      <c r="J33" s="53">
        <f t="shared" si="20"/>
        <v>-1.9300000000000001E-3</v>
      </c>
      <c r="K33" s="37"/>
      <c r="L33" s="53">
        <f t="shared" si="21"/>
        <v>-1.9300000000000001E-3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89" t="str">
        <f>+'BOS G1ND'!Q36</f>
        <v>LTRCA</v>
      </c>
      <c r="R33" s="136"/>
      <c r="S33" s="136"/>
      <c r="T33" s="136"/>
      <c r="U33" s="136"/>
      <c r="V33" s="136"/>
    </row>
    <row r="34" spans="1:22" x14ac:dyDescent="0.3">
      <c r="A34" s="1">
        <f t="shared" si="0"/>
        <v>34</v>
      </c>
      <c r="B34" s="31"/>
      <c r="C34" s="44" t="str">
        <f>+'BOS G1ND'!C37</f>
        <v>AG Consulting Expense</v>
      </c>
      <c r="E34" s="136"/>
      <c r="G34" s="92"/>
      <c r="H34" s="53">
        <v>4.0000000000000003E-5</v>
      </c>
      <c r="I34" s="53">
        <f t="shared" si="19"/>
        <v>4.0000000000000003E-5</v>
      </c>
      <c r="J34" s="53">
        <f t="shared" si="20"/>
        <v>4.0000000000000003E-5</v>
      </c>
      <c r="K34" s="37"/>
      <c r="L34" s="53">
        <f t="shared" si="21"/>
        <v>4.0000000000000003E-5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89" t="str">
        <f>+'BOS G1ND'!Q37</f>
        <v>AGCE</v>
      </c>
      <c r="R34" s="136"/>
      <c r="S34" s="136"/>
      <c r="T34" s="136"/>
      <c r="U34" s="136"/>
      <c r="V34" s="136"/>
    </row>
    <row r="35" spans="1:22" x14ac:dyDescent="0.3">
      <c r="A35" s="1">
        <f t="shared" si="0"/>
        <v>35</v>
      </c>
      <c r="B35" s="31"/>
      <c r="C35" s="44" t="str">
        <f>+'BOS G1ND'!C38</f>
        <v>Storm Cost Recovery Adjustment Factor</v>
      </c>
      <c r="E35" s="136"/>
      <c r="G35" s="92"/>
      <c r="H35" s="53">
        <v>4.8900000000000002E-3</v>
      </c>
      <c r="I35" s="53">
        <f t="shared" si="19"/>
        <v>4.8900000000000002E-3</v>
      </c>
      <c r="J35" s="53">
        <f t="shared" si="20"/>
        <v>4.8900000000000002E-3</v>
      </c>
      <c r="K35" s="37"/>
      <c r="L35" s="53">
        <f t="shared" si="21"/>
        <v>4.8900000000000002E-3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89" t="str">
        <f>+'BOS G1ND'!Q38</f>
        <v>SCRA</v>
      </c>
      <c r="R35" s="136"/>
      <c r="S35" s="136"/>
      <c r="T35" s="136"/>
      <c r="U35" s="136"/>
      <c r="V35" s="136"/>
    </row>
    <row r="36" spans="1:22" x14ac:dyDescent="0.3">
      <c r="A36" s="1">
        <f t="shared" si="0"/>
        <v>36</v>
      </c>
      <c r="B36" s="31"/>
      <c r="C36" s="44" t="str">
        <f>+'BOS G1ND'!C39</f>
        <v>Storm Reserve Adjustment</v>
      </c>
      <c r="E36" s="136"/>
      <c r="G36" s="92"/>
      <c r="H36" s="53">
        <v>0</v>
      </c>
      <c r="I36" s="53">
        <f t="shared" si="19"/>
        <v>0</v>
      </c>
      <c r="J36" s="53">
        <f t="shared" si="20"/>
        <v>0</v>
      </c>
      <c r="K36" s="37"/>
      <c r="L36" s="53">
        <f t="shared" si="21"/>
        <v>0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89" t="str">
        <f>+'BOS G1ND'!Q39</f>
        <v>SRA</v>
      </c>
      <c r="R36" s="136"/>
      <c r="S36" s="136"/>
      <c r="T36" s="136"/>
      <c r="U36" s="136"/>
      <c r="V36" s="136"/>
    </row>
    <row r="37" spans="1:22" x14ac:dyDescent="0.3">
      <c r="A37" s="1">
        <f t="shared" si="0"/>
        <v>37</v>
      </c>
      <c r="B37" s="31"/>
      <c r="C37" s="44" t="str">
        <f>+'BOS G1ND'!C40</f>
        <v>Basic Service Cost True Up Factor</v>
      </c>
      <c r="E37" s="136"/>
      <c r="G37" s="92"/>
      <c r="H37" s="53">
        <v>-3.4000000000000002E-4</v>
      </c>
      <c r="I37" s="53">
        <f t="shared" si="19"/>
        <v>-3.4000000000000002E-4</v>
      </c>
      <c r="J37" s="53">
        <f t="shared" si="20"/>
        <v>-3.4000000000000002E-4</v>
      </c>
      <c r="K37" s="37"/>
      <c r="L37" s="53">
        <f t="shared" si="21"/>
        <v>-3.4000000000000002E-4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89" t="str">
        <f>+'BOS G1ND'!Q40</f>
        <v>BSTF</v>
      </c>
      <c r="R37" s="136"/>
      <c r="S37" s="136"/>
      <c r="T37" s="136"/>
      <c r="U37" s="136"/>
      <c r="V37" s="136"/>
    </row>
    <row r="38" spans="1:22" x14ac:dyDescent="0.3">
      <c r="A38" s="1">
        <f t="shared" si="0"/>
        <v>38</v>
      </c>
      <c r="B38" s="31"/>
      <c r="C38" s="44" t="str">
        <f>+'BOS G1ND'!C41</f>
        <v>Solar Program Cost Adjustment Factor</v>
      </c>
      <c r="E38" s="136"/>
      <c r="G38" s="92"/>
      <c r="H38" s="53">
        <v>1.0000000000000001E-5</v>
      </c>
      <c r="I38" s="53">
        <f t="shared" si="19"/>
        <v>1.0000000000000001E-5</v>
      </c>
      <c r="J38" s="53">
        <f t="shared" si="20"/>
        <v>1.0000000000000001E-5</v>
      </c>
      <c r="K38" s="37"/>
      <c r="L38" s="53">
        <f t="shared" si="21"/>
        <v>1.0000000000000001E-5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89" t="str">
        <f>+'BOS G1ND'!Q41</f>
        <v>SPCA</v>
      </c>
      <c r="R38" s="136"/>
      <c r="S38" s="136"/>
      <c r="T38" s="136"/>
      <c r="U38" s="136"/>
      <c r="V38" s="136"/>
    </row>
    <row r="39" spans="1:22" x14ac:dyDescent="0.3">
      <c r="A39" s="1">
        <f t="shared" si="0"/>
        <v>39</v>
      </c>
      <c r="B39" s="31"/>
      <c r="C39" s="44" t="str">
        <f>+'BOS G1ND'!C42</f>
        <v>Solar Expansion Cost Recovery Factor</v>
      </c>
      <c r="D39" s="37"/>
      <c r="E39" s="37"/>
      <c r="G39" s="92"/>
      <c r="H39" s="53">
        <v>-3.6999999999999999E-4</v>
      </c>
      <c r="I39" s="53">
        <f t="shared" si="19"/>
        <v>-3.6999999999999999E-4</v>
      </c>
      <c r="J39" s="53">
        <f t="shared" si="20"/>
        <v>-3.6999999999999999E-4</v>
      </c>
      <c r="K39" s="37"/>
      <c r="L39" s="53">
        <f t="shared" si="21"/>
        <v>-3.6999999999999999E-4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89" t="str">
        <f>+'BOS G1ND'!Q42</f>
        <v>SECRF</v>
      </c>
    </row>
    <row r="40" spans="1:22" x14ac:dyDescent="0.3">
      <c r="A40" s="1">
        <f t="shared" si="0"/>
        <v>40</v>
      </c>
      <c r="B40" s="31"/>
      <c r="C40" s="44" t="str">
        <f>+'BOS G1ND'!C43</f>
        <v>Vegetation Management</v>
      </c>
      <c r="D40" s="37"/>
      <c r="E40" s="37"/>
      <c r="G40" s="92"/>
      <c r="H40" s="53">
        <v>1.2999999999999999E-3</v>
      </c>
      <c r="I40" s="53">
        <f t="shared" si="19"/>
        <v>1.2999999999999999E-3</v>
      </c>
      <c r="J40" s="53">
        <f t="shared" si="20"/>
        <v>1.2999999999999999E-3</v>
      </c>
      <c r="K40" s="37"/>
      <c r="L40" s="53">
        <f t="shared" si="21"/>
        <v>1.2999999999999999E-3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89" t="str">
        <f>+'BOS G1ND'!Q43</f>
        <v>RTWF</v>
      </c>
    </row>
    <row r="41" spans="1:22" x14ac:dyDescent="0.3">
      <c r="A41" s="1">
        <f t="shared" si="0"/>
        <v>41</v>
      </c>
      <c r="B41" s="31"/>
      <c r="C41" s="44" t="str">
        <f>+'BOS G1ND'!C44</f>
        <v>Tax Act Credit Factor</v>
      </c>
      <c r="E41" s="136"/>
      <c r="G41" s="92"/>
      <c r="H41" s="53">
        <v>-1.33E-3</v>
      </c>
      <c r="I41" s="53">
        <f t="shared" si="19"/>
        <v>-1.33E-3</v>
      </c>
      <c r="J41" s="53">
        <f t="shared" si="20"/>
        <v>-1.33E-3</v>
      </c>
      <c r="K41" s="37"/>
      <c r="L41" s="53">
        <f t="shared" si="21"/>
        <v>-1.33E-3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89" t="str">
        <f>+'BOS G1ND'!Q44</f>
        <v>TACF</v>
      </c>
      <c r="R41" s="136"/>
      <c r="S41" s="136"/>
      <c r="T41" s="136"/>
      <c r="U41" s="136"/>
      <c r="V41" s="136"/>
    </row>
    <row r="42" spans="1:22" x14ac:dyDescent="0.3">
      <c r="A42" s="1">
        <f t="shared" si="0"/>
        <v>42</v>
      </c>
      <c r="B42" s="31"/>
      <c r="C42" s="44" t="str">
        <f>+'BOS G1ND'!C45</f>
        <v>Grid Modernization</v>
      </c>
      <c r="E42" s="136"/>
      <c r="G42" s="92"/>
      <c r="H42" s="53">
        <v>1.65E-3</v>
      </c>
      <c r="I42" s="53">
        <f t="shared" si="19"/>
        <v>1.65E-3</v>
      </c>
      <c r="J42" s="53">
        <f t="shared" si="20"/>
        <v>1.65E-3</v>
      </c>
      <c r="K42" s="37"/>
      <c r="L42" s="53">
        <f t="shared" si="21"/>
        <v>1.65E-3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89" t="str">
        <f>+'BOS G1ND'!Q45</f>
        <v>GMOD</v>
      </c>
      <c r="R42" s="136"/>
      <c r="S42" s="136"/>
      <c r="T42" s="136"/>
      <c r="U42" s="136"/>
      <c r="V42" s="136"/>
    </row>
    <row r="43" spans="1:22" x14ac:dyDescent="0.3">
      <c r="A43" s="1">
        <f t="shared" si="0"/>
        <v>43</v>
      </c>
      <c r="B43" s="31"/>
      <c r="C43" s="44" t="str">
        <f>+'BOS G1ND'!C46</f>
        <v>Advanced Metering Infrastructure</v>
      </c>
      <c r="E43" s="136"/>
      <c r="G43" s="92"/>
      <c r="H43" s="53">
        <v>2.1900000000000001E-3</v>
      </c>
      <c r="I43" s="53">
        <f t="shared" si="19"/>
        <v>2.1900000000000001E-3</v>
      </c>
      <c r="J43" s="53">
        <f t="shared" si="20"/>
        <v>2.1900000000000001E-3</v>
      </c>
      <c r="K43" s="37"/>
      <c r="L43" s="53">
        <f t="shared" si="21"/>
        <v>2.1900000000000001E-3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89" t="str">
        <f>+'BOS G1ND'!Q46</f>
        <v>AMIF</v>
      </c>
      <c r="R43" s="136"/>
      <c r="S43" s="136"/>
      <c r="T43" s="136"/>
      <c r="U43" s="136"/>
      <c r="V43" s="136"/>
    </row>
    <row r="44" spans="1:22" x14ac:dyDescent="0.3">
      <c r="A44" s="1">
        <f t="shared" si="0"/>
        <v>44</v>
      </c>
      <c r="B44" s="31"/>
      <c r="C44" s="44" t="str">
        <f>+'BOS G1ND'!C47</f>
        <v>Electronic Payment Recovery</v>
      </c>
      <c r="E44" s="136"/>
      <c r="G44" s="92"/>
      <c r="H44" s="53">
        <v>0</v>
      </c>
      <c r="I44" s="53">
        <f t="shared" si="19"/>
        <v>0</v>
      </c>
      <c r="J44" s="53">
        <f t="shared" si="20"/>
        <v>0</v>
      </c>
      <c r="K44" s="37"/>
      <c r="L44" s="53">
        <f t="shared" si="21"/>
        <v>0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89" t="str">
        <f>+'BOS G1ND'!Q47</f>
        <v>EPR</v>
      </c>
      <c r="R44" s="136"/>
      <c r="S44" s="136"/>
      <c r="T44" s="136"/>
      <c r="U44" s="136"/>
      <c r="V44" s="136"/>
    </row>
    <row r="45" spans="1:22" x14ac:dyDescent="0.3">
      <c r="A45" s="1">
        <f t="shared" si="0"/>
        <v>45</v>
      </c>
      <c r="B45" s="31"/>
      <c r="C45" s="44" t="str">
        <f>+'BOS G1ND'!C48</f>
        <v>Provisional System Planning Factor</v>
      </c>
      <c r="E45" s="136"/>
      <c r="G45" s="92"/>
      <c r="H45" s="91">
        <v>0</v>
      </c>
      <c r="I45" s="53">
        <f t="shared" si="19"/>
        <v>0</v>
      </c>
      <c r="J45" s="53">
        <f t="shared" si="20"/>
        <v>0</v>
      </c>
      <c r="K45" s="37"/>
      <c r="L45" s="53">
        <f t="shared" si="21"/>
        <v>0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89" t="str">
        <f>+'BOS G1ND'!Q48</f>
        <v>PSPF</v>
      </c>
      <c r="R45" s="136"/>
      <c r="S45" s="136"/>
      <c r="T45" s="136"/>
      <c r="U45" s="136"/>
      <c r="V45" s="136"/>
    </row>
    <row r="46" spans="1:22" x14ac:dyDescent="0.3">
      <c r="A46" s="1">
        <f t="shared" si="0"/>
        <v>46</v>
      </c>
      <c r="B46" s="31"/>
      <c r="C46" s="44" t="str">
        <f>+'BOS G1ND'!C49</f>
        <v>Electric Vehicle Factor</v>
      </c>
      <c r="E46" s="136"/>
      <c r="G46" s="92"/>
      <c r="H46" s="91">
        <v>1.0300000000000001E-3</v>
      </c>
      <c r="I46" s="53">
        <f t="shared" si="19"/>
        <v>1.0300000000000001E-3</v>
      </c>
      <c r="J46" s="53">
        <f t="shared" si="20"/>
        <v>1.0300000000000001E-3</v>
      </c>
      <c r="K46" s="37"/>
      <c r="L46" s="53">
        <f t="shared" si="21"/>
        <v>1.0300000000000001E-3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89" t="str">
        <f>+'BOS G1ND'!Q49</f>
        <v>EVF</v>
      </c>
      <c r="R46" s="136"/>
      <c r="S46" s="136"/>
      <c r="T46" s="136"/>
      <c r="U46" s="136"/>
      <c r="V46" s="136"/>
    </row>
    <row r="47" spans="1:22" x14ac:dyDescent="0.3">
      <c r="A47" s="1">
        <f t="shared" si="0"/>
        <v>47</v>
      </c>
      <c r="B47" s="31"/>
      <c r="C47" s="44" t="str">
        <f>+'BOS G1ND'!C50</f>
        <v>Transition</v>
      </c>
      <c r="E47" s="136"/>
      <c r="G47" s="92"/>
      <c r="H47" s="91">
        <v>-3.6999999999999999E-4</v>
      </c>
      <c r="I47" s="53">
        <f t="shared" si="19"/>
        <v>-3.6999999999999999E-4</v>
      </c>
      <c r="J47" s="53">
        <f t="shared" si="20"/>
        <v>-3.6999999999999999E-4</v>
      </c>
      <c r="K47" s="37"/>
      <c r="L47" s="53">
        <f t="shared" si="21"/>
        <v>-3.6999999999999999E-4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89" t="str">
        <f>+'BOS G1ND'!Q50</f>
        <v>TRNSN</v>
      </c>
      <c r="R47" s="136"/>
      <c r="S47" s="136"/>
      <c r="T47" s="136"/>
      <c r="U47" s="136"/>
      <c r="V47" s="136"/>
    </row>
    <row r="48" spans="1:22" x14ac:dyDescent="0.3">
      <c r="A48" s="1">
        <f t="shared" si="0"/>
        <v>48</v>
      </c>
      <c r="B48" s="31"/>
      <c r="C48" s="44" t="s">
        <v>157</v>
      </c>
      <c r="E48" s="136"/>
      <c r="G48" s="92"/>
      <c r="H48" s="91">
        <v>3.7940000000000002E-2</v>
      </c>
      <c r="I48" s="53">
        <f t="shared" si="19"/>
        <v>3.7940000000000002E-2</v>
      </c>
      <c r="J48" s="53">
        <f t="shared" si="20"/>
        <v>3.7940000000000002E-2</v>
      </c>
      <c r="K48" s="37"/>
      <c r="L48" s="53">
        <f t="shared" si="21"/>
        <v>3.7940000000000002E-2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51" t="s">
        <v>104</v>
      </c>
      <c r="R48" s="136"/>
      <c r="S48" s="136"/>
      <c r="T48" s="136"/>
      <c r="U48" s="136"/>
      <c r="V48" s="136"/>
    </row>
    <row r="49" spans="1:22" x14ac:dyDescent="0.3">
      <c r="A49" s="1">
        <f t="shared" si="0"/>
        <v>49</v>
      </c>
      <c r="B49" s="31"/>
      <c r="C49" s="44" t="s">
        <v>158</v>
      </c>
      <c r="E49" s="136"/>
      <c r="G49" s="92"/>
      <c r="H49" s="91">
        <v>0</v>
      </c>
      <c r="I49" s="53">
        <f t="shared" si="19"/>
        <v>0</v>
      </c>
      <c r="J49" s="53">
        <f t="shared" si="20"/>
        <v>0</v>
      </c>
      <c r="K49" s="37"/>
      <c r="L49" s="53">
        <f t="shared" si="21"/>
        <v>0</v>
      </c>
      <c r="M49" s="54">
        <f t="shared" si="22"/>
        <v>0</v>
      </c>
      <c r="N49" s="54"/>
      <c r="O49" s="54">
        <f t="shared" si="23"/>
        <v>0</v>
      </c>
      <c r="P49" s="54">
        <f t="shared" si="24"/>
        <v>0</v>
      </c>
      <c r="Q49" s="51" t="s">
        <v>104</v>
      </c>
      <c r="R49" s="136"/>
      <c r="S49" s="136"/>
      <c r="T49" s="136"/>
      <c r="U49" s="136"/>
      <c r="V49" s="136"/>
    </row>
    <row r="50" spans="1:22" x14ac:dyDescent="0.3">
      <c r="A50" s="1">
        <f t="shared" si="0"/>
        <v>50</v>
      </c>
      <c r="B50" s="31"/>
      <c r="C50" s="44" t="s">
        <v>105</v>
      </c>
      <c r="E50" s="136"/>
      <c r="G50" s="92"/>
      <c r="H50" s="91">
        <v>-8.1300000000000001E-3</v>
      </c>
      <c r="I50" s="53">
        <v>1.038E-2</v>
      </c>
      <c r="J50" s="53">
        <v>1.333E-2</v>
      </c>
      <c r="L50" s="53">
        <v>1.3129999999999999E-2</v>
      </c>
      <c r="M50" s="54">
        <f t="shared" si="22"/>
        <v>1.8509999999999999E-2</v>
      </c>
      <c r="N50" s="54"/>
      <c r="O50" s="54">
        <f t="shared" si="23"/>
        <v>2.9499999999999995E-3</v>
      </c>
      <c r="P50" s="54">
        <f t="shared" si="24"/>
        <v>-2.0000000000000052E-4</v>
      </c>
      <c r="Q50" s="89" t="s">
        <v>106</v>
      </c>
      <c r="R50" s="136"/>
      <c r="S50" s="136"/>
      <c r="T50" s="136"/>
      <c r="U50" s="136"/>
      <c r="V50" s="136"/>
    </row>
    <row r="51" spans="1:22" x14ac:dyDescent="0.3">
      <c r="A51" s="1">
        <f t="shared" si="0"/>
        <v>51</v>
      </c>
      <c r="B51" s="31"/>
      <c r="C51" s="44" t="s">
        <v>107</v>
      </c>
      <c r="E51" s="136"/>
      <c r="G51" s="92"/>
      <c r="H51" s="91">
        <v>2.5000000000000001E-3</v>
      </c>
      <c r="I51" s="53">
        <f t="shared" si="19"/>
        <v>2.5000000000000001E-3</v>
      </c>
      <c r="J51" s="53">
        <f t="shared" si="20"/>
        <v>2.5000000000000001E-3</v>
      </c>
      <c r="K51" s="37"/>
      <c r="L51" s="53">
        <f t="shared" si="21"/>
        <v>2.5000000000000001E-3</v>
      </c>
      <c r="M51" s="54">
        <f t="shared" si="22"/>
        <v>0</v>
      </c>
      <c r="N51" s="54"/>
      <c r="O51" s="54">
        <f t="shared" si="23"/>
        <v>0</v>
      </c>
      <c r="P51" s="54">
        <f t="shared" si="24"/>
        <v>0</v>
      </c>
      <c r="Q51" s="89" t="s">
        <v>108</v>
      </c>
      <c r="R51" s="136"/>
      <c r="S51" s="136"/>
      <c r="T51" s="136"/>
      <c r="U51" s="136"/>
      <c r="V51" s="136"/>
    </row>
    <row r="52" spans="1:22" x14ac:dyDescent="0.3">
      <c r="A52" s="1">
        <f t="shared" si="0"/>
        <v>52</v>
      </c>
      <c r="B52" s="31"/>
      <c r="C52" s="44" t="s">
        <v>109</v>
      </c>
      <c r="E52" s="136"/>
      <c r="G52" s="92"/>
      <c r="H52" s="91">
        <v>5.0000000000000001E-4</v>
      </c>
      <c r="I52" s="53">
        <f t="shared" si="19"/>
        <v>5.0000000000000001E-4</v>
      </c>
      <c r="J52" s="53">
        <f t="shared" si="20"/>
        <v>5.0000000000000001E-4</v>
      </c>
      <c r="K52" s="136"/>
      <c r="L52" s="53">
        <f t="shared" si="21"/>
        <v>5.0000000000000001E-4</v>
      </c>
      <c r="M52" s="54">
        <f t="shared" si="22"/>
        <v>0</v>
      </c>
      <c r="N52" s="54"/>
      <c r="O52" s="54">
        <f t="shared" si="23"/>
        <v>0</v>
      </c>
      <c r="P52" s="54">
        <f t="shared" si="24"/>
        <v>0</v>
      </c>
      <c r="Q52" s="89" t="s">
        <v>110</v>
      </c>
      <c r="R52" s="136"/>
      <c r="S52" s="136"/>
      <c r="T52" s="136"/>
      <c r="U52" s="136"/>
      <c r="V52" s="136"/>
    </row>
    <row r="53" spans="1:22" x14ac:dyDescent="0.3">
      <c r="A53" s="1">
        <f t="shared" si="0"/>
        <v>53</v>
      </c>
      <c r="B53" s="31"/>
      <c r="C53" s="44" t="s">
        <v>159</v>
      </c>
      <c r="G53" s="92"/>
      <c r="H53" s="91">
        <v>0.15676999999999999</v>
      </c>
      <c r="I53" s="53">
        <f t="shared" si="19"/>
        <v>0.15676999999999999</v>
      </c>
      <c r="J53" s="53">
        <f t="shared" si="20"/>
        <v>0.15676999999999999</v>
      </c>
      <c r="K53" s="136"/>
      <c r="L53" s="53">
        <f t="shared" si="21"/>
        <v>0.15676999999999999</v>
      </c>
      <c r="M53" s="54">
        <f t="shared" si="22"/>
        <v>0</v>
      </c>
      <c r="N53" s="54"/>
      <c r="O53" s="54">
        <f t="shared" si="23"/>
        <v>0</v>
      </c>
      <c r="P53" s="54">
        <f t="shared" si="24"/>
        <v>0</v>
      </c>
      <c r="Q53" s="89" t="s">
        <v>112</v>
      </c>
      <c r="R53" s="136"/>
      <c r="S53" s="136"/>
      <c r="T53" s="136"/>
      <c r="U53" s="136"/>
      <c r="V53" s="136"/>
    </row>
    <row r="54" spans="1:22" x14ac:dyDescent="0.3">
      <c r="A54" s="1">
        <f t="shared" si="0"/>
        <v>54</v>
      </c>
      <c r="B54" s="31"/>
      <c r="C54" s="44"/>
      <c r="G54" s="92"/>
      <c r="H54" s="92"/>
      <c r="I54" s="92"/>
      <c r="J54" s="92"/>
      <c r="K54" s="136"/>
      <c r="L54" s="171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x14ac:dyDescent="0.3">
      <c r="A55" s="1">
        <f t="shared" si="0"/>
        <v>55</v>
      </c>
      <c r="B55" s="31"/>
      <c r="C55" s="172" t="s">
        <v>160</v>
      </c>
      <c r="E55" s="173">
        <v>1</v>
      </c>
      <c r="G55" s="92"/>
      <c r="H55" s="92"/>
      <c r="I55" s="92"/>
      <c r="J55" s="92"/>
      <c r="K55" s="136"/>
      <c r="L55" s="171"/>
      <c r="M55" s="136"/>
      <c r="N55" s="136"/>
      <c r="O55" s="136"/>
      <c r="P55" s="136"/>
      <c r="Q55" s="136"/>
      <c r="R55" s="136"/>
      <c r="S55" s="136"/>
      <c r="T55" s="136"/>
      <c r="U55" s="136"/>
      <c r="V55" s="136"/>
    </row>
    <row r="56" spans="1:22" x14ac:dyDescent="0.3">
      <c r="A56" s="1">
        <f t="shared" si="0"/>
        <v>56</v>
      </c>
      <c r="B56" s="31"/>
      <c r="C56" s="172" t="s">
        <v>161</v>
      </c>
      <c r="E56" s="173">
        <v>0</v>
      </c>
      <c r="G56" s="92"/>
      <c r="H56" s="92"/>
      <c r="I56" s="92"/>
      <c r="J56" s="92"/>
      <c r="K56" s="136"/>
      <c r="L56" s="171"/>
      <c r="M56" s="136"/>
      <c r="N56" s="136"/>
      <c r="O56" s="136"/>
      <c r="P56" s="136"/>
      <c r="Q56" s="136"/>
      <c r="R56" s="136"/>
      <c r="S56" s="136"/>
      <c r="T56" s="136"/>
      <c r="U56" s="136"/>
      <c r="V56" s="136"/>
    </row>
    <row r="57" spans="1:22" x14ac:dyDescent="0.3">
      <c r="A57" s="1"/>
      <c r="B57" s="31"/>
      <c r="C57" s="44"/>
      <c r="G57" s="92"/>
      <c r="H57" s="92"/>
      <c r="I57" s="92"/>
      <c r="J57" s="92"/>
      <c r="K57" s="136"/>
      <c r="L57" s="171"/>
      <c r="M57" s="136"/>
      <c r="N57" s="136"/>
      <c r="O57" s="136"/>
      <c r="P57" s="136"/>
      <c r="Q57" s="136"/>
      <c r="R57" s="136"/>
      <c r="S57" s="136"/>
      <c r="T57" s="136"/>
      <c r="U57" s="136"/>
      <c r="V57" s="136"/>
    </row>
    <row r="58" spans="1:22" x14ac:dyDescent="0.3">
      <c r="A58" s="1"/>
      <c r="B58" s="31"/>
      <c r="C58" s="44" t="s">
        <v>58</v>
      </c>
      <c r="E58" s="136"/>
      <c r="G58" s="142"/>
      <c r="H58" s="88">
        <f>SUM(H24)</f>
        <v>20</v>
      </c>
      <c r="I58" s="88">
        <f>SUM(I24)</f>
        <v>20</v>
      </c>
      <c r="J58" s="88">
        <f>SUM(J24)</f>
        <v>20</v>
      </c>
      <c r="K58" s="136"/>
      <c r="L58" s="88">
        <f>SUM(L24)</f>
        <v>20</v>
      </c>
      <c r="M58" s="136"/>
      <c r="N58" s="136"/>
      <c r="O58" s="136"/>
      <c r="P58" s="136"/>
      <c r="Q58" s="136"/>
      <c r="R58" s="136"/>
      <c r="S58" s="136"/>
      <c r="T58" s="136"/>
      <c r="U58" s="136"/>
      <c r="V58" s="136"/>
    </row>
    <row r="59" spans="1:22" x14ac:dyDescent="0.3">
      <c r="A59" s="1"/>
      <c r="B59" s="31"/>
      <c r="C59" s="44" t="s">
        <v>162</v>
      </c>
      <c r="E59" s="136"/>
      <c r="G59" s="92"/>
      <c r="H59" s="92">
        <f>SUM(H25,H27:H48,H50:H52)</f>
        <v>0.1283</v>
      </c>
      <c r="I59" s="92">
        <f>SUM(I25,I27:I48,I50:I52)</f>
        <v>0.14681</v>
      </c>
      <c r="J59" s="92">
        <f>SUM(J25,J27:J48,J50:J52)</f>
        <v>0.14976</v>
      </c>
      <c r="K59" s="136"/>
      <c r="L59" s="92">
        <f>SUM(L25,L27:L48,L50:L52)</f>
        <v>0.14956</v>
      </c>
      <c r="M59" s="136"/>
      <c r="N59" s="136"/>
      <c r="O59" s="136"/>
      <c r="P59" s="136"/>
      <c r="Q59" s="136"/>
      <c r="R59" s="136"/>
      <c r="S59" s="136"/>
      <c r="T59" s="136"/>
      <c r="U59" s="136"/>
      <c r="V59" s="136"/>
    </row>
    <row r="60" spans="1:22" x14ac:dyDescent="0.3">
      <c r="A60" s="1"/>
      <c r="B60" s="31"/>
      <c r="C60" s="44" t="s">
        <v>163</v>
      </c>
      <c r="E60" s="136"/>
      <c r="G60" s="92"/>
      <c r="H60" s="92">
        <f>SUM(H26,H27:H47,H49:H52)</f>
        <v>5.0279999999999998E-2</v>
      </c>
      <c r="I60" s="92">
        <f>SUM(I26,I27:I47,I49:I52)</f>
        <v>6.878999999999999E-2</v>
      </c>
      <c r="J60" s="92">
        <f>SUM(J26,J27:J47,J49:J52)</f>
        <v>7.1739999999999998E-2</v>
      </c>
      <c r="K60" s="136"/>
      <c r="L60" s="92">
        <f>SUM(L26,L27:L47,L49:L52)</f>
        <v>7.1539999999999992E-2</v>
      </c>
      <c r="M60" s="136"/>
      <c r="N60" s="136"/>
      <c r="O60" s="136"/>
      <c r="P60" s="136"/>
      <c r="Q60" s="136"/>
      <c r="R60" s="136"/>
      <c r="S60" s="136"/>
      <c r="T60" s="136"/>
      <c r="U60" s="136"/>
      <c r="V60" s="136"/>
    </row>
    <row r="61" spans="1:22" x14ac:dyDescent="0.3">
      <c r="A61" s="1"/>
      <c r="B61" s="31"/>
      <c r="C61" s="44" t="s">
        <v>123</v>
      </c>
      <c r="E61" s="136"/>
      <c r="G61" s="92"/>
      <c r="H61" s="92">
        <f>+H53</f>
        <v>0.15676999999999999</v>
      </c>
      <c r="I61" s="92">
        <f>+I53</f>
        <v>0.15676999999999999</v>
      </c>
      <c r="J61" s="92">
        <f>+J53</f>
        <v>0.15676999999999999</v>
      </c>
      <c r="K61" s="136"/>
      <c r="L61" s="92">
        <f>+L53</f>
        <v>0.15676999999999999</v>
      </c>
      <c r="M61" s="136"/>
      <c r="N61" s="136"/>
      <c r="O61" s="136"/>
      <c r="P61" s="136"/>
      <c r="Q61" s="136"/>
      <c r="R61" s="136"/>
      <c r="S61" s="136"/>
      <c r="T61" s="136"/>
      <c r="U61" s="136"/>
      <c r="V61" s="136"/>
    </row>
    <row r="62" spans="1:22" x14ac:dyDescent="0.3">
      <c r="A62" s="1"/>
      <c r="B62" s="31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</row>
    <row r="63" spans="1:22" x14ac:dyDescent="0.3">
      <c r="A63" s="1"/>
      <c r="B63" s="31"/>
      <c r="F63" s="174"/>
      <c r="G63" s="136"/>
      <c r="H63" s="175"/>
      <c r="I63" s="94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</row>
    <row r="64" spans="1:22" x14ac:dyDescent="0.3">
      <c r="A64" s="1"/>
      <c r="B64" s="31"/>
      <c r="F64" s="174"/>
      <c r="G64" s="136"/>
      <c r="H64" s="175"/>
      <c r="I64" s="94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</row>
    <row r="65" spans="1:22" x14ac:dyDescent="0.3">
      <c r="A65" s="31"/>
      <c r="B65" s="31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</row>
    <row r="66" spans="1:22" x14ac:dyDescent="0.3">
      <c r="A66" s="31"/>
      <c r="B66" s="31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</row>
    <row r="67" spans="1:22" x14ac:dyDescent="0.3">
      <c r="A67" s="31"/>
      <c r="B67" s="31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</row>
    <row r="68" spans="1:22" x14ac:dyDescent="0.3">
      <c r="A68" s="31"/>
      <c r="B68" s="31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</row>
    <row r="69" spans="1:22" x14ac:dyDescent="0.3">
      <c r="A69" s="31"/>
      <c r="B69" s="31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</row>
    <row r="70" spans="1:22" x14ac:dyDescent="0.3">
      <c r="A70" s="31"/>
      <c r="B70" s="31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</row>
    <row r="71" spans="1:22" x14ac:dyDescent="0.3">
      <c r="A71" s="31"/>
      <c r="B71" s="31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</row>
    <row r="72" spans="1:22" x14ac:dyDescent="0.3">
      <c r="A72" s="31"/>
      <c r="B72" s="31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</row>
    <row r="73" spans="1:22" x14ac:dyDescent="0.3">
      <c r="A73" s="31"/>
      <c r="B73" s="31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</row>
    <row r="74" spans="1:22" x14ac:dyDescent="0.3">
      <c r="A74" s="31"/>
      <c r="B74" s="31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</row>
    <row r="75" spans="1:22" x14ac:dyDescent="0.3">
      <c r="A75" s="31"/>
      <c r="B75" s="31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</row>
    <row r="76" spans="1:22" x14ac:dyDescent="0.3">
      <c r="A76" s="31"/>
      <c r="B76" s="31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</row>
    <row r="77" spans="1:22" x14ac:dyDescent="0.3">
      <c r="A77" s="31"/>
      <c r="B77" s="31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</row>
    <row r="78" spans="1:22" x14ac:dyDescent="0.3">
      <c r="A78" s="31"/>
      <c r="B78" s="31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</row>
    <row r="79" spans="1:22" x14ac:dyDescent="0.3">
      <c r="A79" s="31"/>
      <c r="B79" s="31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</row>
    <row r="80" spans="1:22" x14ac:dyDescent="0.3">
      <c r="A80" s="31"/>
      <c r="B80" s="31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</row>
    <row r="81" spans="1:22" x14ac:dyDescent="0.3">
      <c r="A81" s="31"/>
      <c r="B81" s="31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</row>
    <row r="82" spans="1:22" x14ac:dyDescent="0.3">
      <c r="A82" s="31"/>
      <c r="B82" s="31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</row>
    <row r="83" spans="1:22" x14ac:dyDescent="0.3">
      <c r="A83" s="31"/>
      <c r="B83" s="31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</row>
    <row r="84" spans="1:22" x14ac:dyDescent="0.3">
      <c r="A84" s="31"/>
      <c r="B84" s="31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</row>
    <row r="85" spans="1:22" x14ac:dyDescent="0.3">
      <c r="A85" s="31"/>
      <c r="B85" s="31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</row>
    <row r="86" spans="1:22" x14ac:dyDescent="0.3">
      <c r="A86" s="31"/>
      <c r="B86" s="31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</row>
    <row r="87" spans="1:22" x14ac:dyDescent="0.3">
      <c r="A87" s="31"/>
      <c r="B87" s="31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</row>
    <row r="88" spans="1:22" x14ac:dyDescent="0.3">
      <c r="A88" s="31"/>
      <c r="B88" s="31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</row>
    <row r="89" spans="1:22" x14ac:dyDescent="0.3">
      <c r="A89" s="31"/>
      <c r="B89" s="31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</row>
    <row r="90" spans="1:22" x14ac:dyDescent="0.3">
      <c r="A90" s="31"/>
      <c r="B90" s="31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</row>
    <row r="91" spans="1:22" x14ac:dyDescent="0.3">
      <c r="A91" s="31"/>
      <c r="B91" s="31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</row>
    <row r="92" spans="1:22" x14ac:dyDescent="0.3">
      <c r="A92" s="31"/>
      <c r="B92" s="31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</row>
    <row r="93" spans="1:22" x14ac:dyDescent="0.3">
      <c r="A93" s="31"/>
      <c r="B93" s="31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</row>
    <row r="94" spans="1:22" x14ac:dyDescent="0.3">
      <c r="A94" s="31"/>
      <c r="B94" s="31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</row>
    <row r="95" spans="1:22" x14ac:dyDescent="0.3">
      <c r="A95" s="31"/>
      <c r="B95" s="31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</row>
    <row r="96" spans="1:22" x14ac:dyDescent="0.3">
      <c r="A96" s="31"/>
      <c r="B96" s="31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</row>
    <row r="97" spans="1:22" x14ac:dyDescent="0.3">
      <c r="A97" s="31"/>
      <c r="B97" s="31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</row>
    <row r="98" spans="1:22" x14ac:dyDescent="0.3">
      <c r="A98" s="31"/>
      <c r="B98" s="31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</row>
    <row r="99" spans="1:22" x14ac:dyDescent="0.3">
      <c r="A99" s="31"/>
      <c r="B99" s="31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</row>
    <row r="100" spans="1:22" x14ac:dyDescent="0.3">
      <c r="A100" s="31"/>
      <c r="B100" s="31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</row>
    <row r="101" spans="1:22" x14ac:dyDescent="0.3">
      <c r="A101" s="31"/>
      <c r="B101" s="31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</row>
    <row r="102" spans="1:22" x14ac:dyDescent="0.3">
      <c r="A102" s="31"/>
      <c r="B102" s="31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</row>
    <row r="103" spans="1:22" x14ac:dyDescent="0.3">
      <c r="A103" s="31"/>
      <c r="B103" s="31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</row>
    <row r="104" spans="1:22" x14ac:dyDescent="0.3">
      <c r="A104" s="31"/>
      <c r="B104" s="31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</row>
    <row r="105" spans="1:22" x14ac:dyDescent="0.3">
      <c r="A105" s="31"/>
      <c r="B105" s="31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</row>
    <row r="106" spans="1:22" x14ac:dyDescent="0.3">
      <c r="A106" s="31"/>
      <c r="B106" s="31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</row>
    <row r="107" spans="1:22" x14ac:dyDescent="0.3">
      <c r="A107" s="31"/>
      <c r="B107" s="31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</row>
    <row r="108" spans="1:22" x14ac:dyDescent="0.3">
      <c r="A108" s="31"/>
      <c r="B108" s="31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</row>
    <row r="109" spans="1:22" x14ac:dyDescent="0.3">
      <c r="A109" s="31"/>
      <c r="B109" s="31"/>
      <c r="C109" s="95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</row>
    <row r="110" spans="1:22" x14ac:dyDescent="0.3">
      <c r="A110" s="31"/>
      <c r="B110" s="31"/>
      <c r="C110" s="163"/>
      <c r="D110" s="146"/>
      <c r="E110" s="146"/>
      <c r="F110" s="146"/>
      <c r="G110" s="147"/>
      <c r="H110" s="146"/>
      <c r="I110" s="146"/>
      <c r="J110" s="146"/>
      <c r="K110" s="147"/>
      <c r="L110" s="146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</row>
    <row r="111" spans="1:22" x14ac:dyDescent="0.3">
      <c r="A111" s="31"/>
      <c r="B111" s="31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</row>
    <row r="112" spans="1:22" x14ac:dyDescent="0.3">
      <c r="A112" s="31"/>
      <c r="B112" s="31"/>
      <c r="C112" s="163"/>
      <c r="D112" s="146"/>
      <c r="E112" s="146"/>
      <c r="F112" s="146"/>
      <c r="G112" s="147"/>
      <c r="H112" s="146"/>
      <c r="I112" s="146"/>
      <c r="J112" s="146"/>
      <c r="K112" s="147"/>
      <c r="L112" s="146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</row>
    <row r="113" spans="1:22" x14ac:dyDescent="0.3">
      <c r="A113" s="31"/>
      <c r="B113" s="31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</row>
    <row r="114" spans="1:22" x14ac:dyDescent="0.3">
      <c r="A114" s="31"/>
      <c r="B114" s="31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</row>
    <row r="115" spans="1:22" x14ac:dyDescent="0.3">
      <c r="A115" s="31"/>
      <c r="B115" s="31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</row>
    <row r="116" spans="1:22" x14ac:dyDescent="0.3">
      <c r="A116" s="31"/>
      <c r="B116" s="31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</row>
    <row r="117" spans="1:22" x14ac:dyDescent="0.3">
      <c r="A117" s="31"/>
      <c r="B117" s="31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</row>
    <row r="118" spans="1:22" x14ac:dyDescent="0.3">
      <c r="A118" s="31"/>
      <c r="B118" s="31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</row>
    <row r="119" spans="1:22" x14ac:dyDescent="0.3">
      <c r="A119" s="31"/>
      <c r="B119" s="31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</row>
    <row r="120" spans="1:22" x14ac:dyDescent="0.3">
      <c r="A120" s="31"/>
      <c r="B120" s="31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</row>
    <row r="121" spans="1:22" x14ac:dyDescent="0.3">
      <c r="A121" s="31"/>
      <c r="B121" s="31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</row>
    <row r="122" spans="1:22" x14ac:dyDescent="0.3">
      <c r="A122" s="31"/>
      <c r="B122" s="31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</row>
    <row r="123" spans="1:22" x14ac:dyDescent="0.3">
      <c r="A123" s="31"/>
      <c r="B123" s="31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</row>
    <row r="124" spans="1:22" x14ac:dyDescent="0.3">
      <c r="A124" s="31"/>
      <c r="B124" s="31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</row>
    <row r="125" spans="1:22" x14ac:dyDescent="0.3">
      <c r="A125" s="31"/>
      <c r="B125" s="31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</row>
    <row r="126" spans="1:22" x14ac:dyDescent="0.3">
      <c r="A126" s="31"/>
      <c r="B126" s="31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</row>
    <row r="127" spans="1:22" x14ac:dyDescent="0.3">
      <c r="A127" s="31"/>
      <c r="B127" s="31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</row>
    <row r="128" spans="1:22" x14ac:dyDescent="0.3"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</row>
    <row r="129" spans="5:22" x14ac:dyDescent="0.3"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</row>
    <row r="130" spans="5:22" x14ac:dyDescent="0.3"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</row>
    <row r="131" spans="5:22" x14ac:dyDescent="0.3"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</row>
    <row r="132" spans="5:22" x14ac:dyDescent="0.3"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</row>
    <row r="133" spans="5:22" x14ac:dyDescent="0.3"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</row>
    <row r="134" spans="5:22" x14ac:dyDescent="0.3"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</row>
    <row r="135" spans="5:22" x14ac:dyDescent="0.3"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</row>
    <row r="136" spans="5:22" x14ac:dyDescent="0.3"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</row>
  </sheetData>
  <mergeCells count="7">
    <mergeCell ref="Z11:AA11"/>
    <mergeCell ref="D11:F11"/>
    <mergeCell ref="H11:J11"/>
    <mergeCell ref="L11:M11"/>
    <mergeCell ref="O11:Q11"/>
    <mergeCell ref="S11:T11"/>
    <mergeCell ref="V11:X11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BABDD-D30C-4394-8906-B397F436F701}">
  <sheetPr>
    <tabColor theme="3" tint="0.59999389629810485"/>
    <pageSetUpPr fitToPage="1"/>
  </sheetPr>
  <dimension ref="A1:AE146"/>
  <sheetViews>
    <sheetView zoomScaleNormal="100" workbookViewId="0"/>
  </sheetViews>
  <sheetFormatPr defaultColWidth="8.7265625" defaultRowHeight="13" x14ac:dyDescent="0.3"/>
  <cols>
    <col min="1" max="1" width="4" style="68" customWidth="1"/>
    <col min="2" max="2" width="4.453125" style="68" bestFit="1" customWidth="1"/>
    <col min="3" max="7" width="12" style="68" customWidth="1"/>
    <col min="8" max="8" width="2" style="68" customWidth="1"/>
    <col min="9" max="11" width="12" style="68" customWidth="1"/>
    <col min="12" max="12" width="2" style="68" customWidth="1"/>
    <col min="13" max="14" width="12" style="68" customWidth="1"/>
    <col min="15" max="15" width="2" style="68" customWidth="1"/>
    <col min="16" max="18" width="12" style="68" customWidth="1"/>
    <col min="19" max="19" width="2" style="68" customWidth="1"/>
    <col min="20" max="21" width="12" style="68" customWidth="1"/>
    <col min="22" max="22" width="2" style="68" customWidth="1"/>
    <col min="23" max="25" width="12" style="68" customWidth="1"/>
    <col min="26" max="26" width="2" style="68" customWidth="1"/>
    <col min="27" max="28" width="12" style="68" customWidth="1"/>
    <col min="29" max="30" width="11.81640625" style="68" bestFit="1" customWidth="1"/>
    <col min="31" max="16384" width="8.7265625" style="68"/>
  </cols>
  <sheetData>
    <row r="1" spans="1:31" x14ac:dyDescent="0.3">
      <c r="A1" s="67">
        <v>1</v>
      </c>
    </row>
    <row r="2" spans="1:31" x14ac:dyDescent="0.3">
      <c r="A2" s="67">
        <f>A1+1</f>
        <v>2</v>
      </c>
    </row>
    <row r="3" spans="1:31" ht="14" x14ac:dyDescent="0.3">
      <c r="A3" s="67">
        <f t="shared" ref="A3:A66" si="0">A2+1</f>
        <v>3</v>
      </c>
      <c r="B3" s="24" t="s">
        <v>40</v>
      </c>
    </row>
    <row r="4" spans="1:31" ht="14" x14ac:dyDescent="0.3">
      <c r="A4" s="67">
        <f t="shared" si="0"/>
        <v>4</v>
      </c>
      <c r="B4" s="24" t="s">
        <v>41</v>
      </c>
      <c r="C4" s="44"/>
      <c r="D4" s="44"/>
      <c r="E4" s="149"/>
      <c r="F4" s="22"/>
      <c r="G4" s="150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31" ht="14" x14ac:dyDescent="0.3">
      <c r="A5" s="67">
        <f t="shared" si="0"/>
        <v>5</v>
      </c>
      <c r="B5" s="24"/>
      <c r="C5" s="44"/>
      <c r="D5" s="44"/>
      <c r="E5" s="149"/>
      <c r="F5" s="22"/>
      <c r="G5" s="150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31" ht="14" x14ac:dyDescent="0.3">
      <c r="A6" s="67">
        <f t="shared" si="0"/>
        <v>6</v>
      </c>
      <c r="B6" s="24" t="s">
        <v>137</v>
      </c>
      <c r="C6" s="44"/>
      <c r="D6" s="44"/>
      <c r="E6" s="149"/>
      <c r="F6" s="22"/>
      <c r="G6" s="150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31" ht="14" x14ac:dyDescent="0.3">
      <c r="A7" s="67">
        <f t="shared" si="0"/>
        <v>7</v>
      </c>
      <c r="B7" s="24" t="s">
        <v>164</v>
      </c>
      <c r="C7" s="44"/>
      <c r="D7" s="44"/>
      <c r="E7" s="149"/>
      <c r="F7" s="22"/>
      <c r="G7" s="150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31" ht="14" x14ac:dyDescent="0.3">
      <c r="A8" s="67">
        <f t="shared" si="0"/>
        <v>8</v>
      </c>
      <c r="B8" s="166"/>
      <c r="C8" s="44"/>
      <c r="D8" s="44"/>
      <c r="E8" s="149"/>
      <c r="F8" s="22"/>
      <c r="G8" s="150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31" ht="14" x14ac:dyDescent="0.3">
      <c r="A9" s="67">
        <f t="shared" si="0"/>
        <v>9</v>
      </c>
      <c r="B9" s="104"/>
      <c r="C9" s="44"/>
      <c r="D9" s="44"/>
      <c r="E9" s="44"/>
      <c r="F9" s="44"/>
      <c r="G9" s="132"/>
      <c r="H9" s="44"/>
    </row>
    <row r="10" spans="1:31" ht="14" x14ac:dyDescent="0.3">
      <c r="A10" s="67">
        <f t="shared" si="0"/>
        <v>10</v>
      </c>
      <c r="B10" s="31"/>
      <c r="C10" s="44"/>
      <c r="D10" s="44"/>
      <c r="E10" s="44"/>
      <c r="F10" s="44"/>
      <c r="G10" s="132"/>
      <c r="H10" s="44"/>
    </row>
    <row r="11" spans="1:31" ht="14" x14ac:dyDescent="0.3">
      <c r="A11" s="67">
        <f t="shared" si="0"/>
        <v>11</v>
      </c>
      <c r="B11" s="31"/>
      <c r="C11" s="104" t="s">
        <v>2</v>
      </c>
      <c r="D11" s="104" t="s">
        <v>2</v>
      </c>
      <c r="E11" s="32" t="str">
        <f>'EMA R1'!D10</f>
        <v>2024 Monthly Bill</v>
      </c>
      <c r="F11" s="32"/>
      <c r="G11" s="32"/>
      <c r="H11" s="133"/>
      <c r="I11" s="32" t="str">
        <f>'EMA R1'!H10</f>
        <v>2025 Illustrative Monthly Bill</v>
      </c>
      <c r="J11" s="32"/>
      <c r="K11" s="32"/>
      <c r="L11" s="23"/>
      <c r="M11" s="32" t="str">
        <f>'EMA R1'!L10</f>
        <v>2025 vs. 2024</v>
      </c>
      <c r="N11" s="32"/>
      <c r="O11" s="27"/>
      <c r="P11" s="32" t="str">
        <f>'EMA R1'!O10</f>
        <v>2026 Illustrative Monthly Bill</v>
      </c>
      <c r="Q11" s="32"/>
      <c r="R11" s="32"/>
      <c r="S11" s="133"/>
      <c r="T11" s="32" t="str">
        <f>'EMA R1'!S10</f>
        <v>2026 vs. 2025</v>
      </c>
      <c r="U11" s="32"/>
      <c r="V11" s="23"/>
      <c r="W11" s="32" t="str">
        <f>'EMA R1'!V10</f>
        <v>2027 Illustrative Monthly Bill</v>
      </c>
      <c r="X11" s="32"/>
      <c r="Y11" s="32"/>
      <c r="Z11" s="133"/>
      <c r="AA11" s="32" t="str">
        <f>'EMA R1'!Z10</f>
        <v>2027 vs. 2026</v>
      </c>
      <c r="AB11" s="32"/>
      <c r="AC11" s="44"/>
      <c r="AD11" s="44"/>
      <c r="AE11" s="44"/>
    </row>
    <row r="12" spans="1:31" ht="14" x14ac:dyDescent="0.3">
      <c r="A12" s="67">
        <f t="shared" si="0"/>
        <v>12</v>
      </c>
      <c r="B12" s="31"/>
      <c r="C12" s="134" t="s">
        <v>165</v>
      </c>
      <c r="D12" s="134" t="s">
        <v>47</v>
      </c>
      <c r="E12" s="34" t="s">
        <v>48</v>
      </c>
      <c r="F12" s="34" t="s">
        <v>49</v>
      </c>
      <c r="G12" s="34" t="s">
        <v>50</v>
      </c>
      <c r="H12" s="34"/>
      <c r="I12" s="34" t="s">
        <v>48</v>
      </c>
      <c r="J12" s="34" t="s">
        <v>49</v>
      </c>
      <c r="K12" s="34" t="s">
        <v>50</v>
      </c>
      <c r="L12" s="23"/>
      <c r="M12" s="34" t="s">
        <v>51</v>
      </c>
      <c r="N12" s="34" t="s">
        <v>14</v>
      </c>
      <c r="O12" s="34"/>
      <c r="P12" s="34" t="s">
        <v>48</v>
      </c>
      <c r="Q12" s="34" t="s">
        <v>49</v>
      </c>
      <c r="R12" s="34" t="s">
        <v>50</v>
      </c>
      <c r="S12" s="34"/>
      <c r="T12" s="34" t="s">
        <v>51</v>
      </c>
      <c r="U12" s="34" t="s">
        <v>14</v>
      </c>
      <c r="V12" s="23"/>
      <c r="W12" s="34" t="s">
        <v>48</v>
      </c>
      <c r="X12" s="34" t="s">
        <v>49</v>
      </c>
      <c r="Y12" s="34" t="s">
        <v>50</v>
      </c>
      <c r="Z12" s="34"/>
      <c r="AA12" s="34" t="s">
        <v>51</v>
      </c>
      <c r="AB12" s="34" t="s">
        <v>14</v>
      </c>
      <c r="AC12" s="44"/>
      <c r="AD12" s="44"/>
      <c r="AE12" s="44"/>
    </row>
    <row r="13" spans="1:31" ht="14" x14ac:dyDescent="0.3">
      <c r="A13" s="67">
        <f t="shared" si="0"/>
        <v>13</v>
      </c>
      <c r="B13" s="31"/>
      <c r="C13" s="134"/>
      <c r="D13" s="134"/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Y13" s="44"/>
      <c r="Z13" s="44"/>
      <c r="AA13" s="44"/>
      <c r="AB13" s="44"/>
      <c r="AC13" s="44"/>
      <c r="AD13" s="44"/>
      <c r="AE13" s="44"/>
    </row>
    <row r="14" spans="1:31" ht="14" x14ac:dyDescent="0.3">
      <c r="A14" s="67">
        <f t="shared" si="0"/>
        <v>14</v>
      </c>
      <c r="B14" s="31"/>
      <c r="C14" s="164" t="s">
        <v>126</v>
      </c>
      <c r="D14" s="104">
        <v>260</v>
      </c>
      <c r="E14" s="134"/>
      <c r="F14" s="134"/>
      <c r="G14" s="134"/>
      <c r="H14" s="44"/>
      <c r="I14" s="134"/>
      <c r="J14" s="134"/>
      <c r="K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Y14" s="44"/>
      <c r="Z14" s="44"/>
      <c r="AA14" s="44"/>
      <c r="AB14" s="44"/>
      <c r="AC14" s="44"/>
      <c r="AD14" s="44"/>
      <c r="AE14" s="44"/>
    </row>
    <row r="15" spans="1:31" ht="14" x14ac:dyDescent="0.3">
      <c r="A15" s="67">
        <f t="shared" si="0"/>
        <v>15</v>
      </c>
      <c r="B15" s="31"/>
      <c r="C15" s="105">
        <v>1</v>
      </c>
      <c r="D15" s="106">
        <f t="shared" ref="D15:D20" si="1">C15*$D$14</f>
        <v>260</v>
      </c>
      <c r="E15" s="135">
        <f>ROUND($G$76+$C15*$G$77+$D15*$G$78*$E$72+$D15*$G$79*$E$73,2)</f>
        <v>46.61</v>
      </c>
      <c r="F15" s="135">
        <f>ROUND($G$80*$D15,2)</f>
        <v>40.76</v>
      </c>
      <c r="G15" s="135">
        <f t="shared" ref="G15:G20" si="2">SUM(E15:F15)</f>
        <v>87.37</v>
      </c>
      <c r="H15" s="136"/>
      <c r="I15" s="135">
        <f>ROUND($I$76+$C15*$I$77+$D15*$I$78*$E$72+$D15*$I$79*$E$73,2)</f>
        <v>51.42</v>
      </c>
      <c r="J15" s="135">
        <f>ROUND($I$80*$D15,2)</f>
        <v>40.76</v>
      </c>
      <c r="K15" s="135">
        <f t="shared" ref="K15:K20" si="3">SUM(I15:J15)</f>
        <v>92.18</v>
      </c>
      <c r="L15" s="136"/>
      <c r="M15" s="135">
        <f>+K15-G15</f>
        <v>4.8100000000000023</v>
      </c>
      <c r="N15" s="137">
        <f>+M15/G15</f>
        <v>5.5053221929724186E-2</v>
      </c>
      <c r="O15" s="135"/>
      <c r="P15" s="135">
        <f>ROUND($J$76+$C15*$J$77+$D15*$J$78*$E$72+$D15*$J$79*$E$73,2)</f>
        <v>52.19</v>
      </c>
      <c r="Q15" s="135">
        <f>ROUND($J$80*$D15,2)</f>
        <v>40.76</v>
      </c>
      <c r="R15" s="135">
        <f t="shared" ref="R15:R36" si="4">SUM(P15:Q15)</f>
        <v>92.949999999999989</v>
      </c>
      <c r="S15" s="136"/>
      <c r="T15" s="135">
        <f>+R15-K15</f>
        <v>0.76999999999998181</v>
      </c>
      <c r="U15" s="137">
        <f>+T15/K15</f>
        <v>8.353221957040375E-3</v>
      </c>
      <c r="V15" s="135"/>
      <c r="W15" s="135">
        <f>ROUND($K$76+$C15*$K$77+$D15*$K$78*$E$72+$D15*$K$79*$E$73,2)</f>
        <v>52.13</v>
      </c>
      <c r="X15" s="135">
        <f>ROUND($K$80*$D15,2)</f>
        <v>40.76</v>
      </c>
      <c r="Y15" s="135">
        <f t="shared" ref="Y15:Y36" si="5">SUM(W15:X15)</f>
        <v>92.89</v>
      </c>
      <c r="Z15" s="136"/>
      <c r="AA15" s="135">
        <f>+Y15-R15</f>
        <v>-5.9999999999988063E-2</v>
      </c>
      <c r="AB15" s="137">
        <f>+AA15/R15</f>
        <v>-6.4550833781590181E-4</v>
      </c>
      <c r="AC15" s="136"/>
      <c r="AD15" s="136"/>
      <c r="AE15" s="136"/>
    </row>
    <row r="16" spans="1:31" ht="14" x14ac:dyDescent="0.3">
      <c r="A16" s="67">
        <f t="shared" si="0"/>
        <v>16</v>
      </c>
      <c r="B16" s="31"/>
      <c r="C16" s="105">
        <v>2</v>
      </c>
      <c r="D16" s="106">
        <f t="shared" si="1"/>
        <v>520</v>
      </c>
      <c r="E16" s="135">
        <f t="shared" ref="E16:E36" si="6">ROUND($G$76+$C16*$G$77+$D16*$G$78*$E$72+$D16*$G$79*$E$73,2)</f>
        <v>73.209999999999994</v>
      </c>
      <c r="F16" s="135">
        <f t="shared" ref="F16:F36" si="7">ROUND($G$80*$D16,2)</f>
        <v>81.52</v>
      </c>
      <c r="G16" s="135">
        <f t="shared" si="2"/>
        <v>154.72999999999999</v>
      </c>
      <c r="H16" s="136"/>
      <c r="I16" s="135">
        <f>ROUND($I$76+$C16*$I$77+$D16*$I$78*$E$72+$D16*$I$79*$E$73,2)</f>
        <v>82.84</v>
      </c>
      <c r="J16" s="135">
        <f t="shared" ref="J16:J36" si="8">ROUND($I$80*$D16,2)</f>
        <v>81.52</v>
      </c>
      <c r="K16" s="135">
        <f t="shared" si="3"/>
        <v>164.36</v>
      </c>
      <c r="L16" s="136"/>
      <c r="M16" s="135">
        <f t="shared" ref="M16:M20" si="9">+K16-G16</f>
        <v>9.6300000000000239</v>
      </c>
      <c r="N16" s="137">
        <f t="shared" ref="N16:N36" si="10">+M16/G16</f>
        <v>6.2237445873457149E-2</v>
      </c>
      <c r="O16" s="135"/>
      <c r="P16" s="135">
        <f>ROUND($J$76+$C16*$J$77+$D16*$J$78*$E$72+$D16*$J$79*$E$73,2)</f>
        <v>84.37</v>
      </c>
      <c r="Q16" s="135">
        <f t="shared" ref="Q16:Q36" si="11">ROUND($J$80*$D16,2)</f>
        <v>81.52</v>
      </c>
      <c r="R16" s="135">
        <f t="shared" si="4"/>
        <v>165.89</v>
      </c>
      <c r="S16" s="136"/>
      <c r="T16" s="135">
        <f t="shared" ref="T16:T36" si="12">+R16-K16</f>
        <v>1.5299999999999727</v>
      </c>
      <c r="U16" s="137">
        <f t="shared" ref="U16:U36" si="13">+T16/K16</f>
        <v>9.3088342662446619E-3</v>
      </c>
      <c r="V16" s="135"/>
      <c r="W16" s="135">
        <f t="shared" ref="W16:W36" si="14">ROUND($K$76+$C16*$K$77+$D16*$K$78*$E$72+$D16*$K$79*$E$73,2)</f>
        <v>84.27</v>
      </c>
      <c r="X16" s="135">
        <f t="shared" ref="X16:X36" si="15">ROUND($K$80*$D16,2)</f>
        <v>81.52</v>
      </c>
      <c r="Y16" s="135">
        <f t="shared" si="5"/>
        <v>165.79</v>
      </c>
      <c r="Z16" s="136"/>
      <c r="AA16" s="135">
        <f t="shared" ref="AA16:AA36" si="16">+Y16-R16</f>
        <v>-9.9999999999994316E-2</v>
      </c>
      <c r="AB16" s="137">
        <f t="shared" ref="AB16:AB36" si="17">+AA16/R16</f>
        <v>-6.0280909036104845E-4</v>
      </c>
      <c r="AC16" s="136"/>
      <c r="AD16" s="136"/>
      <c r="AE16" s="136"/>
    </row>
    <row r="17" spans="1:31" ht="14" x14ac:dyDescent="0.3">
      <c r="A17" s="67">
        <f t="shared" si="0"/>
        <v>17</v>
      </c>
      <c r="B17" s="31"/>
      <c r="C17" s="105">
        <v>3</v>
      </c>
      <c r="D17" s="106">
        <f t="shared" si="1"/>
        <v>780</v>
      </c>
      <c r="E17" s="135">
        <f>ROUND($G$76+$C17*$G$77+$D17*$G$78*$E$72+$D17*$G$79*$E$73,2)</f>
        <v>99.82</v>
      </c>
      <c r="F17" s="135">
        <f>ROUND($G$80*$D17,2)</f>
        <v>122.28</v>
      </c>
      <c r="G17" s="135">
        <f t="shared" si="2"/>
        <v>222.1</v>
      </c>
      <c r="H17" s="136"/>
      <c r="I17" s="135">
        <f t="shared" ref="I17:I36" si="18">ROUND($I$76+$C17*$I$77+$D17*$I$78*$E$72+$D17*$I$79*$E$73,2)</f>
        <v>114.26</v>
      </c>
      <c r="J17" s="135">
        <f>ROUND($I$80*$D17,2)</f>
        <v>122.28</v>
      </c>
      <c r="K17" s="135">
        <f t="shared" si="3"/>
        <v>236.54000000000002</v>
      </c>
      <c r="L17" s="136"/>
      <c r="M17" s="135">
        <f t="shared" si="9"/>
        <v>14.440000000000026</v>
      </c>
      <c r="N17" s="137">
        <f t="shared" si="10"/>
        <v>6.501575866726711E-2</v>
      </c>
      <c r="O17" s="135"/>
      <c r="P17" s="135">
        <f t="shared" ref="P17:P36" si="19">ROUND($J$76+$C17*$J$77+$D17*$J$78*$E$72+$D17*$J$79*$E$73,2)</f>
        <v>116.56</v>
      </c>
      <c r="Q17" s="135">
        <f t="shared" si="11"/>
        <v>122.28</v>
      </c>
      <c r="R17" s="135">
        <f t="shared" si="4"/>
        <v>238.84</v>
      </c>
      <c r="S17" s="136"/>
      <c r="T17" s="135">
        <f t="shared" si="12"/>
        <v>2.2999999999999829</v>
      </c>
      <c r="U17" s="137">
        <f t="shared" si="13"/>
        <v>9.7235139934048476E-3</v>
      </c>
      <c r="V17" s="135"/>
      <c r="W17" s="135">
        <f>ROUND($K$76+$C17*$K$77+$D17*$K$78*$E$72+$D17*$K$79*$E$73,2)</f>
        <v>116.4</v>
      </c>
      <c r="X17" s="135">
        <f>ROUND($K$80*$D17,2)</f>
        <v>122.28</v>
      </c>
      <c r="Y17" s="135">
        <f t="shared" si="5"/>
        <v>238.68</v>
      </c>
      <c r="Z17" s="136"/>
      <c r="AA17" s="135">
        <f t="shared" si="16"/>
        <v>-0.15999999999999659</v>
      </c>
      <c r="AB17" s="137">
        <f t="shared" si="17"/>
        <v>-6.6990453860323474E-4</v>
      </c>
      <c r="AC17" s="136"/>
      <c r="AD17" s="136"/>
      <c r="AE17" s="136"/>
    </row>
    <row r="18" spans="1:31" ht="14" x14ac:dyDescent="0.3">
      <c r="A18" s="67">
        <f t="shared" si="0"/>
        <v>18</v>
      </c>
      <c r="B18" s="31"/>
      <c r="C18" s="105">
        <v>5</v>
      </c>
      <c r="D18" s="106">
        <f t="shared" si="1"/>
        <v>1300</v>
      </c>
      <c r="E18" s="135">
        <f t="shared" si="6"/>
        <v>153.03</v>
      </c>
      <c r="F18" s="135">
        <f t="shared" si="7"/>
        <v>203.8</v>
      </c>
      <c r="G18" s="135">
        <f t="shared" si="2"/>
        <v>356.83000000000004</v>
      </c>
      <c r="H18" s="136"/>
      <c r="I18" s="135">
        <f t="shared" si="18"/>
        <v>177.09</v>
      </c>
      <c r="J18" s="135">
        <f t="shared" si="8"/>
        <v>203.8</v>
      </c>
      <c r="K18" s="135">
        <f t="shared" si="3"/>
        <v>380.89</v>
      </c>
      <c r="L18" s="136"/>
      <c r="M18" s="135">
        <f t="shared" si="9"/>
        <v>24.059999999999945</v>
      </c>
      <c r="N18" s="137">
        <f t="shared" si="10"/>
        <v>6.7427066109912129E-2</v>
      </c>
      <c r="O18" s="135"/>
      <c r="P18" s="135">
        <f t="shared" si="19"/>
        <v>180.93</v>
      </c>
      <c r="Q18" s="135">
        <f t="shared" si="11"/>
        <v>203.8</v>
      </c>
      <c r="R18" s="135">
        <f t="shared" si="4"/>
        <v>384.73</v>
      </c>
      <c r="S18" s="136"/>
      <c r="T18" s="135">
        <f t="shared" si="12"/>
        <v>3.8400000000000318</v>
      </c>
      <c r="U18" s="137">
        <f t="shared" si="13"/>
        <v>1.0081650870330101E-2</v>
      </c>
      <c r="V18" s="135"/>
      <c r="W18" s="135">
        <f t="shared" si="14"/>
        <v>180.67</v>
      </c>
      <c r="X18" s="135">
        <f t="shared" si="15"/>
        <v>203.8</v>
      </c>
      <c r="Y18" s="135">
        <f t="shared" si="5"/>
        <v>384.47</v>
      </c>
      <c r="Z18" s="136"/>
      <c r="AA18" s="135">
        <f t="shared" si="16"/>
        <v>-0.25999999999999091</v>
      </c>
      <c r="AB18" s="137">
        <f t="shared" si="17"/>
        <v>-6.7579861201359629E-4</v>
      </c>
      <c r="AC18" s="136"/>
      <c r="AD18" s="136"/>
      <c r="AE18" s="136"/>
    </row>
    <row r="19" spans="1:31" ht="14" x14ac:dyDescent="0.3">
      <c r="A19" s="67">
        <f t="shared" si="0"/>
        <v>19</v>
      </c>
      <c r="B19" s="31"/>
      <c r="C19" s="105">
        <v>10</v>
      </c>
      <c r="D19" s="106">
        <f t="shared" si="1"/>
        <v>2600</v>
      </c>
      <c r="E19" s="135">
        <f t="shared" si="6"/>
        <v>286.06</v>
      </c>
      <c r="F19" s="135">
        <f t="shared" si="7"/>
        <v>407.6</v>
      </c>
      <c r="G19" s="135">
        <f t="shared" si="2"/>
        <v>693.66000000000008</v>
      </c>
      <c r="H19" s="136"/>
      <c r="I19" s="135">
        <f t="shared" si="18"/>
        <v>334.19</v>
      </c>
      <c r="J19" s="135">
        <f t="shared" si="8"/>
        <v>407.6</v>
      </c>
      <c r="K19" s="135">
        <f t="shared" si="3"/>
        <v>741.79</v>
      </c>
      <c r="L19" s="136"/>
      <c r="M19" s="135">
        <f t="shared" si="9"/>
        <v>48.129999999999882</v>
      </c>
      <c r="N19" s="137">
        <f t="shared" si="10"/>
        <v>6.9385577948850849E-2</v>
      </c>
      <c r="O19" s="135"/>
      <c r="P19" s="135">
        <f t="shared" si="19"/>
        <v>341.86</v>
      </c>
      <c r="Q19" s="135">
        <f t="shared" si="11"/>
        <v>407.6</v>
      </c>
      <c r="R19" s="135">
        <f t="shared" si="4"/>
        <v>749.46</v>
      </c>
      <c r="S19" s="136"/>
      <c r="T19" s="135">
        <f t="shared" si="12"/>
        <v>7.6700000000000728</v>
      </c>
      <c r="U19" s="137">
        <f t="shared" si="13"/>
        <v>1.0339853597379411E-2</v>
      </c>
      <c r="V19" s="135"/>
      <c r="W19" s="135">
        <f t="shared" si="14"/>
        <v>341.34</v>
      </c>
      <c r="X19" s="135">
        <f t="shared" si="15"/>
        <v>407.6</v>
      </c>
      <c r="Y19" s="135">
        <f t="shared" si="5"/>
        <v>748.94</v>
      </c>
      <c r="Z19" s="136"/>
      <c r="AA19" s="135">
        <f t="shared" si="16"/>
        <v>-0.51999999999998181</v>
      </c>
      <c r="AB19" s="137">
        <f t="shared" si="17"/>
        <v>-6.9383289301628074E-4</v>
      </c>
      <c r="AC19" s="136"/>
      <c r="AD19" s="136"/>
      <c r="AE19" s="136"/>
    </row>
    <row r="20" spans="1:31" ht="14" x14ac:dyDescent="0.3">
      <c r="A20" s="67">
        <f t="shared" si="0"/>
        <v>20</v>
      </c>
      <c r="B20" s="31" t="s">
        <v>52</v>
      </c>
      <c r="C20" s="105">
        <v>9</v>
      </c>
      <c r="D20" s="106">
        <f t="shared" si="1"/>
        <v>2340</v>
      </c>
      <c r="E20" s="135">
        <f t="shared" si="6"/>
        <v>259.45</v>
      </c>
      <c r="F20" s="135">
        <f t="shared" si="7"/>
        <v>366.84</v>
      </c>
      <c r="G20" s="135">
        <f t="shared" si="2"/>
        <v>626.29</v>
      </c>
      <c r="H20" s="136"/>
      <c r="I20" s="135">
        <f t="shared" si="18"/>
        <v>302.77</v>
      </c>
      <c r="J20" s="135">
        <f t="shared" si="8"/>
        <v>366.84</v>
      </c>
      <c r="K20" s="135">
        <f t="shared" si="3"/>
        <v>669.6099999999999</v>
      </c>
      <c r="L20" s="136"/>
      <c r="M20" s="135">
        <f t="shared" si="9"/>
        <v>43.319999999999936</v>
      </c>
      <c r="N20" s="137">
        <f t="shared" si="10"/>
        <v>6.9169234699579973E-2</v>
      </c>
      <c r="O20" s="135"/>
      <c r="P20" s="135">
        <f t="shared" si="19"/>
        <v>309.67</v>
      </c>
      <c r="Q20" s="135">
        <f t="shared" si="11"/>
        <v>366.84</v>
      </c>
      <c r="R20" s="135">
        <f t="shared" si="4"/>
        <v>676.51</v>
      </c>
      <c r="S20" s="136"/>
      <c r="T20" s="135">
        <f t="shared" si="12"/>
        <v>6.9000000000000909</v>
      </c>
      <c r="U20" s="137">
        <f t="shared" si="13"/>
        <v>1.0304505607741958E-2</v>
      </c>
      <c r="V20" s="135"/>
      <c r="W20" s="135">
        <f t="shared" si="14"/>
        <v>309.2</v>
      </c>
      <c r="X20" s="135">
        <f t="shared" si="15"/>
        <v>366.84</v>
      </c>
      <c r="Y20" s="135">
        <f t="shared" si="5"/>
        <v>676.04</v>
      </c>
      <c r="Z20" s="136"/>
      <c r="AA20" s="135">
        <f t="shared" si="16"/>
        <v>-0.47000000000002728</v>
      </c>
      <c r="AB20" s="137">
        <f t="shared" si="17"/>
        <v>-6.9474213241493442E-4</v>
      </c>
      <c r="AC20" s="136"/>
      <c r="AD20" s="136"/>
      <c r="AE20" s="136"/>
    </row>
    <row r="21" spans="1:31" ht="14" x14ac:dyDescent="0.3">
      <c r="A21" s="67">
        <f t="shared" si="0"/>
        <v>21</v>
      </c>
      <c r="B21" s="31"/>
      <c r="C21" s="158"/>
      <c r="D21" s="158"/>
      <c r="E21" s="135"/>
      <c r="F21" s="135"/>
      <c r="G21" s="153"/>
      <c r="H21" s="159"/>
      <c r="I21" s="135"/>
      <c r="J21" s="135"/>
      <c r="K21" s="153"/>
      <c r="L21" s="159"/>
      <c r="M21" s="153"/>
      <c r="N21" s="137"/>
      <c r="O21" s="153"/>
      <c r="P21" s="135"/>
      <c r="Q21" s="135"/>
      <c r="R21" s="135"/>
      <c r="S21" s="153"/>
      <c r="T21" s="135"/>
      <c r="U21" s="137"/>
      <c r="V21" s="153"/>
      <c r="W21" s="135"/>
      <c r="X21" s="135"/>
      <c r="Y21" s="135"/>
      <c r="AA21" s="135"/>
      <c r="AB21" s="137"/>
    </row>
    <row r="22" spans="1:31" ht="14" x14ac:dyDescent="0.3">
      <c r="A22" s="67">
        <f t="shared" si="0"/>
        <v>22</v>
      </c>
      <c r="B22" s="31"/>
      <c r="C22" s="164" t="s">
        <v>126</v>
      </c>
      <c r="D22" s="104">
        <v>495</v>
      </c>
      <c r="E22" s="135"/>
      <c r="F22" s="135"/>
      <c r="G22" s="136"/>
      <c r="H22" s="136"/>
      <c r="I22" s="135"/>
      <c r="J22" s="135"/>
      <c r="K22" s="136"/>
      <c r="L22" s="136"/>
      <c r="M22" s="136"/>
      <c r="N22" s="137"/>
      <c r="O22" s="136"/>
      <c r="P22" s="135"/>
      <c r="Q22" s="135"/>
      <c r="R22" s="135"/>
      <c r="S22" s="136"/>
      <c r="T22" s="135"/>
      <c r="U22" s="137"/>
      <c r="V22" s="136"/>
      <c r="W22" s="135"/>
      <c r="X22" s="135"/>
      <c r="Y22" s="135"/>
      <c r="AA22" s="135"/>
      <c r="AB22" s="137"/>
    </row>
    <row r="23" spans="1:31" ht="14" x14ac:dyDescent="0.3">
      <c r="A23" s="67">
        <f t="shared" si="0"/>
        <v>23</v>
      </c>
      <c r="B23" s="31"/>
      <c r="C23" s="105">
        <v>1</v>
      </c>
      <c r="D23" s="106">
        <f t="shared" ref="D23:D28" si="20">C23*$D$22</f>
        <v>495</v>
      </c>
      <c r="E23" s="135">
        <f t="shared" si="6"/>
        <v>66.81</v>
      </c>
      <c r="F23" s="135">
        <f t="shared" si="7"/>
        <v>77.599999999999994</v>
      </c>
      <c r="G23" s="135">
        <f t="shared" ref="G23:G28" si="21">SUM(E23:F23)</f>
        <v>144.41</v>
      </c>
      <c r="H23" s="136"/>
      <c r="I23" s="135">
        <f t="shared" si="18"/>
        <v>75.98</v>
      </c>
      <c r="J23" s="135">
        <f t="shared" si="8"/>
        <v>77.599999999999994</v>
      </c>
      <c r="K23" s="135">
        <f t="shared" ref="K23:K28" si="22">SUM(I23:J23)</f>
        <v>153.57999999999998</v>
      </c>
      <c r="L23" s="136"/>
      <c r="M23" s="135">
        <f t="shared" ref="M23:M28" si="23">+K23-G23</f>
        <v>9.1699999999999875</v>
      </c>
      <c r="N23" s="137">
        <f t="shared" si="10"/>
        <v>6.3499757634512766E-2</v>
      </c>
      <c r="O23" s="135"/>
      <c r="P23" s="135">
        <f t="shared" si="19"/>
        <v>77.44</v>
      </c>
      <c r="Q23" s="135">
        <f t="shared" si="11"/>
        <v>77.599999999999994</v>
      </c>
      <c r="R23" s="135">
        <f t="shared" si="4"/>
        <v>155.04</v>
      </c>
      <c r="S23" s="135"/>
      <c r="T23" s="135">
        <f t="shared" si="12"/>
        <v>1.460000000000008</v>
      </c>
      <c r="U23" s="137">
        <f t="shared" si="13"/>
        <v>9.5064461518427415E-3</v>
      </c>
      <c r="V23" s="135"/>
      <c r="W23" s="135">
        <f t="shared" si="14"/>
        <v>77.34</v>
      </c>
      <c r="X23" s="135">
        <f t="shared" si="15"/>
        <v>77.599999999999994</v>
      </c>
      <c r="Y23" s="135">
        <f t="shared" si="5"/>
        <v>154.94</v>
      </c>
      <c r="Z23" s="136"/>
      <c r="AA23" s="135">
        <f t="shared" si="16"/>
        <v>-9.9999999999994316E-2</v>
      </c>
      <c r="AB23" s="137">
        <f t="shared" si="17"/>
        <v>-6.4499484004124303E-4</v>
      </c>
      <c r="AC23" s="136"/>
      <c r="AD23" s="136"/>
      <c r="AE23" s="136"/>
    </row>
    <row r="24" spans="1:31" ht="14" x14ac:dyDescent="0.3">
      <c r="A24" s="67">
        <f t="shared" si="0"/>
        <v>24</v>
      </c>
      <c r="B24" s="31"/>
      <c r="C24" s="105">
        <v>2</v>
      </c>
      <c r="D24" s="106">
        <f t="shared" si="20"/>
        <v>990</v>
      </c>
      <c r="E24" s="135">
        <f t="shared" si="6"/>
        <v>113.63</v>
      </c>
      <c r="F24" s="135">
        <f t="shared" si="7"/>
        <v>155.19999999999999</v>
      </c>
      <c r="G24" s="135">
        <f t="shared" si="21"/>
        <v>268.83</v>
      </c>
      <c r="H24" s="136"/>
      <c r="I24" s="135">
        <f t="shared" si="18"/>
        <v>131.94999999999999</v>
      </c>
      <c r="J24" s="135">
        <f t="shared" si="8"/>
        <v>155.19999999999999</v>
      </c>
      <c r="K24" s="135">
        <f t="shared" si="22"/>
        <v>287.14999999999998</v>
      </c>
      <c r="L24" s="136"/>
      <c r="M24" s="135">
        <f t="shared" si="23"/>
        <v>18.319999999999993</v>
      </c>
      <c r="N24" s="137">
        <f t="shared" si="10"/>
        <v>6.8147156195365086E-2</v>
      </c>
      <c r="O24" s="135"/>
      <c r="P24" s="135">
        <f t="shared" si="19"/>
        <v>134.87</v>
      </c>
      <c r="Q24" s="135">
        <f t="shared" si="11"/>
        <v>155.19999999999999</v>
      </c>
      <c r="R24" s="135">
        <f t="shared" si="4"/>
        <v>290.07</v>
      </c>
      <c r="S24" s="135"/>
      <c r="T24" s="135">
        <f t="shared" si="12"/>
        <v>2.9200000000000159</v>
      </c>
      <c r="U24" s="137">
        <f t="shared" si="13"/>
        <v>1.0168901271112715E-2</v>
      </c>
      <c r="V24" s="135"/>
      <c r="W24" s="135">
        <f t="shared" si="14"/>
        <v>134.66999999999999</v>
      </c>
      <c r="X24" s="135">
        <f t="shared" si="15"/>
        <v>155.19999999999999</v>
      </c>
      <c r="Y24" s="135">
        <f t="shared" si="5"/>
        <v>289.87</v>
      </c>
      <c r="Z24" s="136"/>
      <c r="AA24" s="135">
        <f t="shared" si="16"/>
        <v>-0.19999999999998863</v>
      </c>
      <c r="AB24" s="137">
        <f t="shared" si="17"/>
        <v>-6.894887440962135E-4</v>
      </c>
      <c r="AC24" s="136"/>
      <c r="AD24" s="136"/>
      <c r="AE24" s="136"/>
    </row>
    <row r="25" spans="1:31" ht="14" x14ac:dyDescent="0.3">
      <c r="A25" s="67">
        <f t="shared" si="0"/>
        <v>25</v>
      </c>
      <c r="B25" s="31"/>
      <c r="C25" s="105">
        <v>3</v>
      </c>
      <c r="D25" s="106">
        <f t="shared" si="20"/>
        <v>1485</v>
      </c>
      <c r="E25" s="135">
        <f>ROUND($G$76+$C25*$G$77+$D25*$G$78*$E$72+$D25*$G$79*$E$73,2)</f>
        <v>160.44</v>
      </c>
      <c r="F25" s="135">
        <f t="shared" si="7"/>
        <v>232.8</v>
      </c>
      <c r="G25" s="135">
        <f t="shared" si="21"/>
        <v>393.24</v>
      </c>
      <c r="H25" s="136"/>
      <c r="I25" s="135">
        <f t="shared" si="18"/>
        <v>187.93</v>
      </c>
      <c r="J25" s="135">
        <f t="shared" si="8"/>
        <v>232.8</v>
      </c>
      <c r="K25" s="135">
        <f t="shared" si="22"/>
        <v>420.73</v>
      </c>
      <c r="L25" s="136"/>
      <c r="M25" s="135">
        <f t="shared" si="23"/>
        <v>27.490000000000009</v>
      </c>
      <c r="N25" s="137">
        <f t="shared" si="10"/>
        <v>6.9906418472179863E-2</v>
      </c>
      <c r="O25" s="135"/>
      <c r="P25" s="135">
        <f t="shared" si="19"/>
        <v>192.31</v>
      </c>
      <c r="Q25" s="135">
        <f t="shared" si="11"/>
        <v>232.8</v>
      </c>
      <c r="R25" s="135">
        <f t="shared" si="4"/>
        <v>425.11</v>
      </c>
      <c r="S25" s="135"/>
      <c r="T25" s="135">
        <f t="shared" si="12"/>
        <v>4.3799999999999955</v>
      </c>
      <c r="U25" s="137">
        <f t="shared" si="13"/>
        <v>1.041047702802271E-2</v>
      </c>
      <c r="V25" s="135"/>
      <c r="W25" s="135">
        <f>ROUND($K$76+$C25*$K$77+$D25*$K$78*$E$72+$D25*$K$79*$E$73,2)</f>
        <v>192.01</v>
      </c>
      <c r="X25" s="135">
        <f t="shared" si="15"/>
        <v>232.8</v>
      </c>
      <c r="Y25" s="135">
        <f t="shared" si="5"/>
        <v>424.81</v>
      </c>
      <c r="Z25" s="136"/>
      <c r="AA25" s="135">
        <f t="shared" si="16"/>
        <v>-0.30000000000001137</v>
      </c>
      <c r="AB25" s="137">
        <f t="shared" si="17"/>
        <v>-7.0569970125381983E-4</v>
      </c>
      <c r="AC25" s="136"/>
      <c r="AD25" s="136"/>
      <c r="AE25" s="136"/>
    </row>
    <row r="26" spans="1:31" ht="14" x14ac:dyDescent="0.3">
      <c r="A26" s="67">
        <f t="shared" si="0"/>
        <v>26</v>
      </c>
      <c r="B26" s="31"/>
      <c r="C26" s="105">
        <v>5</v>
      </c>
      <c r="D26" s="106">
        <f t="shared" si="20"/>
        <v>2475</v>
      </c>
      <c r="E26" s="135">
        <f t="shared" si="6"/>
        <v>254.06</v>
      </c>
      <c r="F26" s="135">
        <f>ROUND($G$80*$D26,2)</f>
        <v>388.01</v>
      </c>
      <c r="G26" s="135">
        <f t="shared" si="21"/>
        <v>642.06999999999994</v>
      </c>
      <c r="H26" s="136"/>
      <c r="I26" s="135">
        <f>ROUND($I$76+$C26*$I$77+$D26*$I$78*$E$72+$D26*$I$79*$E$73,2)</f>
        <v>299.88</v>
      </c>
      <c r="J26" s="135">
        <f t="shared" si="8"/>
        <v>388.01</v>
      </c>
      <c r="K26" s="135">
        <f t="shared" si="22"/>
        <v>687.89</v>
      </c>
      <c r="L26" s="136"/>
      <c r="M26" s="135">
        <f t="shared" si="23"/>
        <v>45.82000000000005</v>
      </c>
      <c r="N26" s="137">
        <f t="shared" si="10"/>
        <v>7.1362935505474567E-2</v>
      </c>
      <c r="O26" s="135"/>
      <c r="P26" s="135">
        <f>ROUND($J$76+$C26*$J$77+$D26*$J$78*$E$72+$D26*$J$79*$E$73,2)</f>
        <v>307.18</v>
      </c>
      <c r="Q26" s="135">
        <f>ROUND($J$80*$D26,2)</f>
        <v>388.01</v>
      </c>
      <c r="R26" s="135">
        <f t="shared" si="4"/>
        <v>695.19</v>
      </c>
      <c r="S26" s="135"/>
      <c r="T26" s="135">
        <f t="shared" si="12"/>
        <v>7.3000000000000682</v>
      </c>
      <c r="U26" s="137">
        <f t="shared" si="13"/>
        <v>1.0612161828199376E-2</v>
      </c>
      <c r="V26" s="135"/>
      <c r="W26" s="135">
        <f t="shared" si="14"/>
        <v>306.68</v>
      </c>
      <c r="X26" s="135">
        <f t="shared" si="15"/>
        <v>388.01</v>
      </c>
      <c r="Y26" s="135">
        <f t="shared" si="5"/>
        <v>694.69</v>
      </c>
      <c r="Z26" s="136"/>
      <c r="AA26" s="135">
        <f t="shared" si="16"/>
        <v>-0.5</v>
      </c>
      <c r="AB26" s="137">
        <f t="shared" si="17"/>
        <v>-7.1922783699420291E-4</v>
      </c>
      <c r="AC26" s="136"/>
      <c r="AD26" s="136"/>
      <c r="AE26" s="136"/>
    </row>
    <row r="27" spans="1:31" ht="14" x14ac:dyDescent="0.3">
      <c r="A27" s="67">
        <f t="shared" si="0"/>
        <v>27</v>
      </c>
      <c r="B27" s="31"/>
      <c r="C27" s="105">
        <v>10</v>
      </c>
      <c r="D27" s="106">
        <f t="shared" si="20"/>
        <v>4950</v>
      </c>
      <c r="E27" s="135">
        <f t="shared" si="6"/>
        <v>488.13</v>
      </c>
      <c r="F27" s="135">
        <f t="shared" si="7"/>
        <v>776.01</v>
      </c>
      <c r="G27" s="135">
        <f t="shared" si="21"/>
        <v>1264.1399999999999</v>
      </c>
      <c r="H27" s="136"/>
      <c r="I27" s="135">
        <f t="shared" si="18"/>
        <v>579.75</v>
      </c>
      <c r="J27" s="135">
        <f>ROUND($I$80*$D27,2)</f>
        <v>776.01</v>
      </c>
      <c r="K27" s="135">
        <f t="shared" si="22"/>
        <v>1355.76</v>
      </c>
      <c r="L27" s="136"/>
      <c r="M27" s="135">
        <f t="shared" si="23"/>
        <v>91.620000000000118</v>
      </c>
      <c r="N27" s="137">
        <f t="shared" si="10"/>
        <v>7.247614979353563E-2</v>
      </c>
      <c r="O27" s="135"/>
      <c r="P27" s="135">
        <f t="shared" si="19"/>
        <v>594.35</v>
      </c>
      <c r="Q27" s="135">
        <f t="shared" si="11"/>
        <v>776.01</v>
      </c>
      <c r="R27" s="135">
        <f t="shared" si="4"/>
        <v>1370.3600000000001</v>
      </c>
      <c r="S27" s="135"/>
      <c r="T27" s="135">
        <f t="shared" si="12"/>
        <v>14.600000000000136</v>
      </c>
      <c r="U27" s="137">
        <f t="shared" si="13"/>
        <v>1.0768867646191166E-2</v>
      </c>
      <c r="V27" s="135"/>
      <c r="W27" s="135">
        <f t="shared" si="14"/>
        <v>593.36</v>
      </c>
      <c r="X27" s="135">
        <f>ROUND($K$80*$D27,2)</f>
        <v>776.01</v>
      </c>
      <c r="Y27" s="135">
        <f t="shared" si="5"/>
        <v>1369.37</v>
      </c>
      <c r="Z27" s="136"/>
      <c r="AA27" s="135">
        <f t="shared" si="16"/>
        <v>-0.99000000000023647</v>
      </c>
      <c r="AB27" s="137">
        <f t="shared" si="17"/>
        <v>-7.2243789953022302E-4</v>
      </c>
      <c r="AC27" s="136"/>
      <c r="AD27" s="136"/>
      <c r="AE27" s="136"/>
    </row>
    <row r="28" spans="1:31" ht="14" x14ac:dyDescent="0.3">
      <c r="A28" s="67">
        <f t="shared" si="0"/>
        <v>28</v>
      </c>
      <c r="B28" s="31" t="s">
        <v>52</v>
      </c>
      <c r="C28" s="106">
        <v>6</v>
      </c>
      <c r="D28" s="106">
        <f t="shared" si="20"/>
        <v>2970</v>
      </c>
      <c r="E28" s="135">
        <f t="shared" si="6"/>
        <v>300.88</v>
      </c>
      <c r="F28" s="135">
        <f t="shared" si="7"/>
        <v>465.61</v>
      </c>
      <c r="G28" s="135">
        <f t="shared" si="21"/>
        <v>766.49</v>
      </c>
      <c r="H28" s="136"/>
      <c r="I28" s="135">
        <f t="shared" si="18"/>
        <v>355.85</v>
      </c>
      <c r="J28" s="135">
        <f t="shared" si="8"/>
        <v>465.61</v>
      </c>
      <c r="K28" s="135">
        <f t="shared" si="22"/>
        <v>821.46</v>
      </c>
      <c r="L28" s="136"/>
      <c r="M28" s="135">
        <f t="shared" si="23"/>
        <v>54.970000000000027</v>
      </c>
      <c r="N28" s="137">
        <f t="shared" si="10"/>
        <v>7.1716525982074161E-2</v>
      </c>
      <c r="O28" s="135"/>
      <c r="P28" s="135">
        <f t="shared" si="19"/>
        <v>364.61</v>
      </c>
      <c r="Q28" s="135">
        <f t="shared" si="11"/>
        <v>465.61</v>
      </c>
      <c r="R28" s="135">
        <f t="shared" si="4"/>
        <v>830.22</v>
      </c>
      <c r="S28" s="135"/>
      <c r="T28" s="135">
        <f t="shared" si="12"/>
        <v>8.7599999999999909</v>
      </c>
      <c r="U28" s="137">
        <f t="shared" si="13"/>
        <v>1.0663939814476652E-2</v>
      </c>
      <c r="V28" s="135"/>
      <c r="W28" s="135">
        <f t="shared" si="14"/>
        <v>364.02</v>
      </c>
      <c r="X28" s="135">
        <f t="shared" si="15"/>
        <v>465.61</v>
      </c>
      <c r="Y28" s="135">
        <f t="shared" si="5"/>
        <v>829.63</v>
      </c>
      <c r="Z28" s="136"/>
      <c r="AA28" s="135">
        <f t="shared" si="16"/>
        <v>-0.59000000000003183</v>
      </c>
      <c r="AB28" s="137">
        <f t="shared" si="17"/>
        <v>-7.1065500710658835E-4</v>
      </c>
      <c r="AC28" s="136"/>
      <c r="AD28" s="136"/>
      <c r="AE28" s="136"/>
    </row>
    <row r="29" spans="1:31" ht="14" x14ac:dyDescent="0.3">
      <c r="A29" s="67">
        <f t="shared" si="0"/>
        <v>29</v>
      </c>
      <c r="B29" s="31"/>
      <c r="C29" s="158"/>
      <c r="D29" s="158"/>
      <c r="E29" s="135"/>
      <c r="F29" s="135"/>
      <c r="G29" s="153"/>
      <c r="H29" s="159"/>
      <c r="I29" s="135"/>
      <c r="J29" s="135"/>
      <c r="K29" s="153"/>
      <c r="L29" s="159"/>
      <c r="M29" s="153"/>
      <c r="N29" s="137"/>
      <c r="O29" s="153"/>
      <c r="P29" s="135"/>
      <c r="Q29" s="135"/>
      <c r="R29" s="135"/>
      <c r="S29" s="153"/>
      <c r="T29" s="135"/>
      <c r="U29" s="137"/>
      <c r="V29" s="153"/>
      <c r="W29" s="135"/>
      <c r="X29" s="135"/>
      <c r="Y29" s="135"/>
      <c r="AA29" s="135"/>
      <c r="AB29" s="137"/>
    </row>
    <row r="30" spans="1:31" ht="14" x14ac:dyDescent="0.3">
      <c r="A30" s="67">
        <f t="shared" si="0"/>
        <v>30</v>
      </c>
      <c r="B30" s="31"/>
      <c r="C30" s="164" t="s">
        <v>126</v>
      </c>
      <c r="D30" s="104">
        <v>625</v>
      </c>
      <c r="E30" s="135"/>
      <c r="F30" s="135"/>
      <c r="G30" s="136"/>
      <c r="H30" s="136"/>
      <c r="I30" s="135"/>
      <c r="J30" s="135"/>
      <c r="K30" s="136"/>
      <c r="L30" s="136"/>
      <c r="M30" s="136"/>
      <c r="N30" s="137"/>
      <c r="O30" s="136"/>
      <c r="P30" s="135"/>
      <c r="Q30" s="135"/>
      <c r="R30" s="135"/>
      <c r="S30" s="136"/>
      <c r="T30" s="135"/>
      <c r="U30" s="137"/>
      <c r="V30" s="136"/>
      <c r="W30" s="135"/>
      <c r="X30" s="135"/>
      <c r="Y30" s="135"/>
      <c r="AA30" s="135"/>
      <c r="AB30" s="137"/>
    </row>
    <row r="31" spans="1:31" ht="14" x14ac:dyDescent="0.3">
      <c r="A31" s="67">
        <f t="shared" si="0"/>
        <v>31</v>
      </c>
      <c r="B31" s="31"/>
      <c r="C31" s="105">
        <v>1</v>
      </c>
      <c r="D31" s="106">
        <f t="shared" ref="D31:D36" si="24">C31*$D$30</f>
        <v>625</v>
      </c>
      <c r="E31" s="135">
        <f t="shared" si="6"/>
        <v>77.989999999999995</v>
      </c>
      <c r="F31" s="135">
        <f t="shared" si="7"/>
        <v>97.98</v>
      </c>
      <c r="G31" s="135">
        <f t="shared" ref="G31:G36" si="25">SUM(E31:F31)</f>
        <v>175.97</v>
      </c>
      <c r="H31" s="136"/>
      <c r="I31" s="135">
        <f t="shared" si="18"/>
        <v>89.56</v>
      </c>
      <c r="J31" s="135">
        <f t="shared" si="8"/>
        <v>97.98</v>
      </c>
      <c r="K31" s="135">
        <f t="shared" ref="K31:K36" si="26">SUM(I31:J31)</f>
        <v>187.54000000000002</v>
      </c>
      <c r="L31" s="136"/>
      <c r="M31" s="135">
        <f t="shared" ref="M31:M36" si="27">+K31-G31</f>
        <v>11.570000000000022</v>
      </c>
      <c r="N31" s="137">
        <f t="shared" si="10"/>
        <v>6.5749843723362053E-2</v>
      </c>
      <c r="O31" s="135"/>
      <c r="P31" s="135">
        <f t="shared" si="19"/>
        <v>91.4</v>
      </c>
      <c r="Q31" s="135">
        <f t="shared" si="11"/>
        <v>97.98</v>
      </c>
      <c r="R31" s="135">
        <f t="shared" si="4"/>
        <v>189.38</v>
      </c>
      <c r="S31" s="135"/>
      <c r="T31" s="135">
        <f t="shared" si="12"/>
        <v>1.839999999999975</v>
      </c>
      <c r="U31" s="137">
        <f t="shared" si="13"/>
        <v>9.811240268742534E-3</v>
      </c>
      <c r="V31" s="135"/>
      <c r="W31" s="135">
        <f t="shared" si="14"/>
        <v>91.28</v>
      </c>
      <c r="X31" s="135">
        <f t="shared" si="15"/>
        <v>97.98</v>
      </c>
      <c r="Y31" s="135">
        <f t="shared" si="5"/>
        <v>189.26</v>
      </c>
      <c r="Z31" s="136"/>
      <c r="AA31" s="135">
        <f t="shared" si="16"/>
        <v>-0.12000000000000455</v>
      </c>
      <c r="AB31" s="137">
        <f t="shared" si="17"/>
        <v>-6.3364663639246246E-4</v>
      </c>
      <c r="AC31" s="81"/>
      <c r="AD31" s="136"/>
      <c r="AE31" s="136"/>
    </row>
    <row r="32" spans="1:31" ht="14" x14ac:dyDescent="0.3">
      <c r="A32" s="67">
        <f t="shared" si="0"/>
        <v>32</v>
      </c>
      <c r="B32" s="31"/>
      <c r="C32" s="105">
        <v>2</v>
      </c>
      <c r="D32" s="106">
        <f t="shared" si="24"/>
        <v>1250</v>
      </c>
      <c r="E32" s="135">
        <f t="shared" si="6"/>
        <v>135.97999999999999</v>
      </c>
      <c r="F32" s="135">
        <f t="shared" si="7"/>
        <v>195.96</v>
      </c>
      <c r="G32" s="135">
        <f t="shared" si="25"/>
        <v>331.94</v>
      </c>
      <c r="H32" s="136"/>
      <c r="I32" s="135">
        <f t="shared" si="18"/>
        <v>159.12</v>
      </c>
      <c r="J32" s="135">
        <f t="shared" si="8"/>
        <v>195.96</v>
      </c>
      <c r="K32" s="135">
        <f t="shared" si="26"/>
        <v>355.08000000000004</v>
      </c>
      <c r="L32" s="136"/>
      <c r="M32" s="135">
        <f t="shared" si="27"/>
        <v>23.140000000000043</v>
      </c>
      <c r="N32" s="137">
        <f t="shared" si="10"/>
        <v>6.9711393625354112E-2</v>
      </c>
      <c r="O32" s="135"/>
      <c r="P32" s="135">
        <f t="shared" si="19"/>
        <v>162.81</v>
      </c>
      <c r="Q32" s="135">
        <f t="shared" si="11"/>
        <v>195.96</v>
      </c>
      <c r="R32" s="135">
        <f t="shared" si="4"/>
        <v>358.77</v>
      </c>
      <c r="S32" s="135"/>
      <c r="T32" s="135">
        <f t="shared" si="12"/>
        <v>3.6899999999999409</v>
      </c>
      <c r="U32" s="137">
        <f t="shared" si="13"/>
        <v>1.0392024332544611E-2</v>
      </c>
      <c r="V32" s="135"/>
      <c r="W32" s="135">
        <f t="shared" si="14"/>
        <v>162.56</v>
      </c>
      <c r="X32" s="135">
        <f t="shared" si="15"/>
        <v>195.96</v>
      </c>
      <c r="Y32" s="135">
        <f t="shared" si="5"/>
        <v>358.52</v>
      </c>
      <c r="Z32" s="136"/>
      <c r="AA32" s="135">
        <f t="shared" si="16"/>
        <v>-0.25</v>
      </c>
      <c r="AB32" s="137">
        <f t="shared" si="17"/>
        <v>-6.9682526409677514E-4</v>
      </c>
      <c r="AC32" s="81"/>
      <c r="AD32" s="136"/>
      <c r="AE32" s="136"/>
    </row>
    <row r="33" spans="1:31" ht="14" x14ac:dyDescent="0.3">
      <c r="A33" s="67">
        <f t="shared" si="0"/>
        <v>33</v>
      </c>
      <c r="B33" s="31"/>
      <c r="C33" s="105">
        <v>3</v>
      </c>
      <c r="D33" s="106">
        <f t="shared" si="24"/>
        <v>1875</v>
      </c>
      <c r="E33" s="135">
        <f t="shared" si="6"/>
        <v>193.97</v>
      </c>
      <c r="F33" s="135">
        <f t="shared" si="7"/>
        <v>293.94</v>
      </c>
      <c r="G33" s="135">
        <f t="shared" si="25"/>
        <v>487.90999999999997</v>
      </c>
      <c r="H33" s="136"/>
      <c r="I33" s="135">
        <f>ROUND($I$76+$C33*$I$77+$D33*$I$78*$E$72+$D33*$I$79*$E$73,2)</f>
        <v>228.68</v>
      </c>
      <c r="J33" s="135">
        <f>ROUND($I$80*$D33,2)</f>
        <v>293.94</v>
      </c>
      <c r="K33" s="135">
        <f t="shared" si="26"/>
        <v>522.62</v>
      </c>
      <c r="L33" s="136"/>
      <c r="M33" s="135">
        <f t="shared" si="27"/>
        <v>34.710000000000036</v>
      </c>
      <c r="N33" s="137">
        <f t="shared" si="10"/>
        <v>7.1140169293517325E-2</v>
      </c>
      <c r="O33" s="135"/>
      <c r="P33" s="135">
        <f t="shared" si="19"/>
        <v>234.21</v>
      </c>
      <c r="Q33" s="135">
        <f>ROUND($J$80*$D33,2)</f>
        <v>293.94</v>
      </c>
      <c r="R33" s="135">
        <f t="shared" si="4"/>
        <v>528.15</v>
      </c>
      <c r="S33" s="135"/>
      <c r="T33" s="135">
        <f t="shared" si="12"/>
        <v>5.5299999999999727</v>
      </c>
      <c r="U33" s="137">
        <f t="shared" si="13"/>
        <v>1.0581301901955479E-2</v>
      </c>
      <c r="V33" s="135"/>
      <c r="W33" s="135">
        <f>ROUND($K$76+$C33*$K$77+$D33*$K$78*$E$72+$D33*$K$79*$E$73,2)</f>
        <v>233.83</v>
      </c>
      <c r="X33" s="135">
        <f>ROUND($K$80*$D33,2)</f>
        <v>293.94</v>
      </c>
      <c r="Y33" s="135">
        <f t="shared" si="5"/>
        <v>527.77</v>
      </c>
      <c r="Z33" s="136"/>
      <c r="AA33" s="135">
        <f t="shared" si="16"/>
        <v>-0.37999999999999545</v>
      </c>
      <c r="AB33" s="137">
        <f t="shared" si="17"/>
        <v>-7.1949256839912048E-4</v>
      </c>
      <c r="AC33" s="81"/>
      <c r="AD33" s="136"/>
      <c r="AE33" s="136"/>
    </row>
    <row r="34" spans="1:31" ht="14" x14ac:dyDescent="0.3">
      <c r="A34" s="67">
        <f t="shared" si="0"/>
        <v>34</v>
      </c>
      <c r="B34" s="31"/>
      <c r="C34" s="105">
        <v>5</v>
      </c>
      <c r="D34" s="106">
        <f t="shared" si="24"/>
        <v>3125</v>
      </c>
      <c r="E34" s="135">
        <f>ROUND($G$76+$C34*$G$77+$D34*$G$78*$E$72+$D34*$G$79*$E$73,2)</f>
        <v>309.95</v>
      </c>
      <c r="F34" s="135">
        <f>ROUND($G$80*$D34,2)</f>
        <v>489.91</v>
      </c>
      <c r="G34" s="135">
        <f t="shared" si="25"/>
        <v>799.86</v>
      </c>
      <c r="H34" s="136"/>
      <c r="I34" s="135">
        <f t="shared" si="18"/>
        <v>367.8</v>
      </c>
      <c r="J34" s="135">
        <f t="shared" si="8"/>
        <v>489.91</v>
      </c>
      <c r="K34" s="135">
        <f t="shared" si="26"/>
        <v>857.71</v>
      </c>
      <c r="L34" s="136"/>
      <c r="M34" s="135">
        <f t="shared" si="27"/>
        <v>57.850000000000023</v>
      </c>
      <c r="N34" s="137">
        <f t="shared" si="10"/>
        <v>7.2325156902457957E-2</v>
      </c>
      <c r="O34" s="135"/>
      <c r="P34" s="135">
        <f>ROUND($J$76+$C34*$J$77+$D34*$J$78*$E$72+$D34*$J$79*$E$73,2)</f>
        <v>377.02</v>
      </c>
      <c r="Q34" s="135">
        <f t="shared" si="11"/>
        <v>489.91</v>
      </c>
      <c r="R34" s="135">
        <f t="shared" si="4"/>
        <v>866.93000000000006</v>
      </c>
      <c r="S34" s="135"/>
      <c r="T34" s="135">
        <f t="shared" si="12"/>
        <v>9.2200000000000273</v>
      </c>
      <c r="U34" s="137">
        <f t="shared" si="13"/>
        <v>1.0749554045073542E-2</v>
      </c>
      <c r="V34" s="135"/>
      <c r="W34" s="135">
        <f t="shared" si="14"/>
        <v>376.39</v>
      </c>
      <c r="X34" s="135">
        <f t="shared" si="15"/>
        <v>489.91</v>
      </c>
      <c r="Y34" s="135">
        <f t="shared" si="5"/>
        <v>866.3</v>
      </c>
      <c r="Z34" s="136"/>
      <c r="AA34" s="135">
        <f t="shared" si="16"/>
        <v>-0.63000000000010914</v>
      </c>
      <c r="AB34" s="137">
        <f t="shared" si="17"/>
        <v>-7.2670227123309737E-4</v>
      </c>
      <c r="AC34" s="81"/>
      <c r="AD34" s="136"/>
      <c r="AE34" s="136"/>
    </row>
    <row r="35" spans="1:31" ht="14" x14ac:dyDescent="0.3">
      <c r="A35" s="67">
        <f t="shared" si="0"/>
        <v>35</v>
      </c>
      <c r="B35" s="31"/>
      <c r="C35" s="105">
        <v>10</v>
      </c>
      <c r="D35" s="106">
        <f t="shared" si="24"/>
        <v>6250</v>
      </c>
      <c r="E35" s="135">
        <f t="shared" si="6"/>
        <v>599.91</v>
      </c>
      <c r="F35" s="135">
        <f t="shared" si="7"/>
        <v>979.81</v>
      </c>
      <c r="G35" s="135">
        <f t="shared" si="25"/>
        <v>1579.7199999999998</v>
      </c>
      <c r="H35" s="136"/>
      <c r="I35" s="135">
        <f t="shared" si="18"/>
        <v>715.59</v>
      </c>
      <c r="J35" s="135">
        <f t="shared" si="8"/>
        <v>979.81</v>
      </c>
      <c r="K35" s="135">
        <f t="shared" si="26"/>
        <v>1695.4</v>
      </c>
      <c r="L35" s="136"/>
      <c r="M35" s="135">
        <f t="shared" si="27"/>
        <v>115.68000000000029</v>
      </c>
      <c r="N35" s="137">
        <f t="shared" si="10"/>
        <v>7.3228167016939905E-2</v>
      </c>
      <c r="O35" s="135"/>
      <c r="P35" s="135">
        <f t="shared" si="19"/>
        <v>734.03</v>
      </c>
      <c r="Q35" s="135">
        <f t="shared" si="11"/>
        <v>979.81</v>
      </c>
      <c r="R35" s="135">
        <f t="shared" si="4"/>
        <v>1713.84</v>
      </c>
      <c r="S35" s="135"/>
      <c r="T35" s="135">
        <f t="shared" si="12"/>
        <v>18.439999999999827</v>
      </c>
      <c r="U35" s="137">
        <f t="shared" si="13"/>
        <v>1.0876489324053218E-2</v>
      </c>
      <c r="V35" s="135"/>
      <c r="W35" s="135">
        <f t="shared" si="14"/>
        <v>732.78</v>
      </c>
      <c r="X35" s="135">
        <f t="shared" si="15"/>
        <v>979.81</v>
      </c>
      <c r="Y35" s="135">
        <f t="shared" si="5"/>
        <v>1712.59</v>
      </c>
      <c r="Z35" s="136"/>
      <c r="AA35" s="135">
        <f t="shared" si="16"/>
        <v>-1.25</v>
      </c>
      <c r="AB35" s="137">
        <f t="shared" si="17"/>
        <v>-7.2935629930448583E-4</v>
      </c>
      <c r="AC35" s="81"/>
      <c r="AD35" s="136"/>
      <c r="AE35" s="136"/>
    </row>
    <row r="36" spans="1:31" ht="14" x14ac:dyDescent="0.3">
      <c r="A36" s="67">
        <f t="shared" si="0"/>
        <v>36</v>
      </c>
      <c r="B36" s="31" t="s">
        <v>52</v>
      </c>
      <c r="C36" s="106">
        <v>7</v>
      </c>
      <c r="D36" s="106">
        <f t="shared" si="24"/>
        <v>4375</v>
      </c>
      <c r="E36" s="135">
        <f t="shared" si="6"/>
        <v>425.93</v>
      </c>
      <c r="F36" s="135">
        <f t="shared" si="7"/>
        <v>685.87</v>
      </c>
      <c r="G36" s="135">
        <f t="shared" si="25"/>
        <v>1111.8</v>
      </c>
      <c r="H36" s="136"/>
      <c r="I36" s="135">
        <f t="shared" si="18"/>
        <v>506.92</v>
      </c>
      <c r="J36" s="135">
        <f t="shared" si="8"/>
        <v>685.87</v>
      </c>
      <c r="K36" s="135">
        <f t="shared" si="26"/>
        <v>1192.79</v>
      </c>
      <c r="L36" s="136"/>
      <c r="M36" s="135">
        <f t="shared" si="27"/>
        <v>80.990000000000009</v>
      </c>
      <c r="N36" s="137">
        <f t="shared" si="10"/>
        <v>7.2845835581939203E-2</v>
      </c>
      <c r="O36" s="135"/>
      <c r="P36" s="135">
        <f t="shared" si="19"/>
        <v>519.82000000000005</v>
      </c>
      <c r="Q36" s="135">
        <f t="shared" si="11"/>
        <v>685.87</v>
      </c>
      <c r="R36" s="135">
        <f t="shared" si="4"/>
        <v>1205.69</v>
      </c>
      <c r="S36" s="135"/>
      <c r="T36" s="135">
        <f t="shared" si="12"/>
        <v>12.900000000000091</v>
      </c>
      <c r="U36" s="137">
        <f t="shared" si="13"/>
        <v>1.0814980004862626E-2</v>
      </c>
      <c r="V36" s="135"/>
      <c r="W36" s="135">
        <f t="shared" si="14"/>
        <v>518.95000000000005</v>
      </c>
      <c r="X36" s="135">
        <f t="shared" si="15"/>
        <v>685.87</v>
      </c>
      <c r="Y36" s="135">
        <f t="shared" si="5"/>
        <v>1204.8200000000002</v>
      </c>
      <c r="Z36" s="136"/>
      <c r="AA36" s="135">
        <f t="shared" si="16"/>
        <v>-0.86999999999989086</v>
      </c>
      <c r="AB36" s="137">
        <f t="shared" si="17"/>
        <v>-7.2157851520696927E-4</v>
      </c>
      <c r="AC36" s="81"/>
      <c r="AD36" s="136"/>
      <c r="AE36" s="136"/>
    </row>
    <row r="37" spans="1:31" ht="14" x14ac:dyDescent="0.3">
      <c r="A37" s="67">
        <f t="shared" si="0"/>
        <v>37</v>
      </c>
      <c r="B37" s="31"/>
      <c r="C37" s="152"/>
      <c r="D37" s="152"/>
      <c r="E37" s="153"/>
      <c r="F37" s="153"/>
      <c r="G37" s="154"/>
      <c r="H37" s="155"/>
      <c r="I37" s="153"/>
      <c r="J37" s="153"/>
      <c r="K37" s="153"/>
      <c r="L37" s="156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60"/>
    </row>
    <row r="38" spans="1:31" ht="14" x14ac:dyDescent="0.3">
      <c r="A38" s="67">
        <f t="shared" si="0"/>
        <v>38</v>
      </c>
      <c r="B38" s="31"/>
      <c r="D38" s="105"/>
      <c r="E38" s="135"/>
      <c r="F38" s="135"/>
      <c r="G38" s="139"/>
      <c r="H38" s="140"/>
    </row>
    <row r="39" spans="1:31" ht="14" x14ac:dyDescent="0.3">
      <c r="A39" s="67">
        <f t="shared" si="0"/>
        <v>39</v>
      </c>
      <c r="B39" s="31"/>
      <c r="C39" s="44" t="s">
        <v>53</v>
      </c>
      <c r="D39" s="44"/>
      <c r="E39" s="44"/>
      <c r="G39" s="45">
        <f>'EMA R1'!H28</f>
        <v>2024</v>
      </c>
      <c r="I39" s="45">
        <f>'EMA R1'!I28</f>
        <v>2025</v>
      </c>
      <c r="J39" s="45">
        <f>'EMA R1'!J28</f>
        <v>2026</v>
      </c>
      <c r="K39" s="45">
        <f>'EMA R1'!L28</f>
        <v>2027</v>
      </c>
      <c r="M39" s="45" t="str">
        <f>'EMA R1'!M28</f>
        <v>2025 v 2024</v>
      </c>
      <c r="N39" s="45" t="str">
        <f>'EMA R1'!O28</f>
        <v>2026 v 2025</v>
      </c>
      <c r="P39" s="45" t="str">
        <f>'EMA R1'!P28</f>
        <v>2027 v 2026</v>
      </c>
    </row>
    <row r="40" spans="1:31" ht="15.5" x14ac:dyDescent="0.45">
      <c r="A40" s="67">
        <f t="shared" si="0"/>
        <v>40</v>
      </c>
      <c r="B40" s="31"/>
      <c r="C40" s="23" t="s">
        <v>53</v>
      </c>
      <c r="D40" s="23"/>
      <c r="E40" s="44"/>
      <c r="G40" s="47" t="str">
        <f>+'BOS G1ND'!H27</f>
        <v>Rates</v>
      </c>
      <c r="H40" s="116"/>
      <c r="I40" s="47" t="s">
        <v>57</v>
      </c>
      <c r="J40" s="47" t="s">
        <v>57</v>
      </c>
      <c r="K40" s="47" t="s">
        <v>57</v>
      </c>
      <c r="L40" s="37"/>
      <c r="M40" s="48" t="s">
        <v>51</v>
      </c>
      <c r="N40" s="48" t="s">
        <v>51</v>
      </c>
      <c r="O40" s="22"/>
      <c r="P40" s="48" t="s">
        <v>51</v>
      </c>
    </row>
    <row r="41" spans="1:31" ht="14" x14ac:dyDescent="0.3">
      <c r="A41" s="67">
        <f t="shared" si="0"/>
        <v>41</v>
      </c>
      <c r="B41" s="31"/>
      <c r="C41" s="44" t="s">
        <v>58</v>
      </c>
      <c r="D41" s="44"/>
      <c r="E41" s="23"/>
      <c r="G41" s="88">
        <v>20</v>
      </c>
      <c r="H41" s="142"/>
      <c r="I41" s="88">
        <f>+G41</f>
        <v>20</v>
      </c>
      <c r="J41" s="88">
        <f>G41</f>
        <v>20</v>
      </c>
      <c r="K41" s="88">
        <f>G41</f>
        <v>20</v>
      </c>
      <c r="L41" s="37"/>
      <c r="M41" s="50">
        <f t="shared" ref="M41:M70" si="28">+I41-G41</f>
        <v>0</v>
      </c>
      <c r="N41" s="50">
        <f>+J41-I41</f>
        <v>0</v>
      </c>
      <c r="O41" s="50"/>
      <c r="P41" s="50">
        <f>+K41-J41</f>
        <v>0</v>
      </c>
      <c r="Q41" s="89" t="s">
        <v>59</v>
      </c>
    </row>
    <row r="42" spans="1:31" ht="14" x14ac:dyDescent="0.3">
      <c r="A42" s="67">
        <f t="shared" si="0"/>
        <v>42</v>
      </c>
      <c r="B42" s="31"/>
      <c r="C42" s="44" t="s">
        <v>146</v>
      </c>
      <c r="D42" s="44"/>
      <c r="E42" s="23"/>
      <c r="G42" s="88">
        <v>4.25</v>
      </c>
      <c r="H42" s="142"/>
      <c r="I42" s="88">
        <f t="shared" ref="I42:I70" si="29">+G42</f>
        <v>4.25</v>
      </c>
      <c r="J42" s="88">
        <f t="shared" ref="J42:J70" si="30">G42</f>
        <v>4.25</v>
      </c>
      <c r="K42" s="88">
        <f t="shared" ref="K42:K70" si="31">G42</f>
        <v>4.25</v>
      </c>
      <c r="L42" s="37"/>
      <c r="M42" s="50">
        <f t="shared" si="28"/>
        <v>0</v>
      </c>
      <c r="N42" s="50">
        <f t="shared" ref="N42:N70" si="32">+J42-I42</f>
        <v>0</v>
      </c>
      <c r="O42" s="50"/>
      <c r="P42" s="50">
        <f t="shared" ref="P42:P70" si="33">+K42-J42</f>
        <v>0</v>
      </c>
      <c r="Q42" s="89" t="s">
        <v>59</v>
      </c>
    </row>
    <row r="43" spans="1:31" ht="14" x14ac:dyDescent="0.3">
      <c r="A43" s="67">
        <f t="shared" si="0"/>
        <v>43</v>
      </c>
      <c r="B43" s="31"/>
      <c r="C43" s="44" t="s">
        <v>155</v>
      </c>
      <c r="D43" s="44"/>
      <c r="E43" s="23"/>
      <c r="G43" s="91">
        <v>3.5349999999999999E-2</v>
      </c>
      <c r="H43" s="176"/>
      <c r="I43" s="91">
        <f t="shared" si="29"/>
        <v>3.5349999999999999E-2</v>
      </c>
      <c r="J43" s="91">
        <f t="shared" si="30"/>
        <v>3.5349999999999999E-2</v>
      </c>
      <c r="K43" s="91">
        <f t="shared" si="31"/>
        <v>3.5349999999999999E-2</v>
      </c>
      <c r="L43" s="37"/>
      <c r="M43" s="54">
        <f t="shared" si="28"/>
        <v>0</v>
      </c>
      <c r="N43" s="54">
        <f t="shared" si="32"/>
        <v>0</v>
      </c>
      <c r="O43" s="54"/>
      <c r="P43" s="54">
        <f t="shared" si="33"/>
        <v>0</v>
      </c>
      <c r="Q43" s="89" t="s">
        <v>59</v>
      </c>
    </row>
    <row r="44" spans="1:31" ht="14" x14ac:dyDescent="0.3">
      <c r="A44" s="67">
        <f t="shared" si="0"/>
        <v>44</v>
      </c>
      <c r="B44" s="31"/>
      <c r="C44" s="44" t="s">
        <v>166</v>
      </c>
      <c r="G44" s="91">
        <v>2.5649999999999999E-2</v>
      </c>
      <c r="H44" s="176"/>
      <c r="I44" s="91">
        <f t="shared" si="29"/>
        <v>2.5649999999999999E-2</v>
      </c>
      <c r="J44" s="91">
        <f t="shared" si="30"/>
        <v>2.5649999999999999E-2</v>
      </c>
      <c r="K44" s="91">
        <f t="shared" si="31"/>
        <v>2.5649999999999999E-2</v>
      </c>
      <c r="L44" s="37"/>
      <c r="M44" s="54">
        <f t="shared" si="28"/>
        <v>0</v>
      </c>
      <c r="N44" s="54">
        <f t="shared" si="32"/>
        <v>0</v>
      </c>
      <c r="O44" s="54"/>
      <c r="P44" s="54">
        <f t="shared" si="33"/>
        <v>0</v>
      </c>
      <c r="Q44" s="89" t="s">
        <v>59</v>
      </c>
    </row>
    <row r="45" spans="1:31" ht="14" x14ac:dyDescent="0.3">
      <c r="A45" s="67">
        <f t="shared" si="0"/>
        <v>45</v>
      </c>
      <c r="B45" s="31"/>
      <c r="C45" s="44" t="str">
        <f>+'BOS G1ND'!C30</f>
        <v>Exogenous Cost Adjustment</v>
      </c>
      <c r="D45" s="44"/>
      <c r="E45" s="23"/>
      <c r="G45" s="91">
        <v>7.5000000000000002E-4</v>
      </c>
      <c r="H45" s="176"/>
      <c r="I45" s="91">
        <f t="shared" si="29"/>
        <v>7.5000000000000002E-4</v>
      </c>
      <c r="J45" s="91">
        <f t="shared" si="30"/>
        <v>7.5000000000000002E-4</v>
      </c>
      <c r="K45" s="91">
        <f t="shared" si="31"/>
        <v>7.5000000000000002E-4</v>
      </c>
      <c r="L45" s="37"/>
      <c r="M45" s="54">
        <f t="shared" si="28"/>
        <v>0</v>
      </c>
      <c r="N45" s="54">
        <f t="shared" si="32"/>
        <v>0</v>
      </c>
      <c r="O45" s="54"/>
      <c r="P45" s="54">
        <f t="shared" si="33"/>
        <v>0</v>
      </c>
      <c r="Q45" s="89" t="str">
        <f>+'BOS G1ND'!Q30</f>
        <v>ECA</v>
      </c>
    </row>
    <row r="46" spans="1:31" ht="14" x14ac:dyDescent="0.3">
      <c r="A46" s="67">
        <f t="shared" si="0"/>
        <v>46</v>
      </c>
      <c r="B46" s="31"/>
      <c r="C46" s="44" t="str">
        <f>+'BOS G1ND'!C31</f>
        <v>Revenue Decoupling</v>
      </c>
      <c r="D46" s="44"/>
      <c r="E46" s="23"/>
      <c r="G46" s="91">
        <v>4.0000000000000003E-5</v>
      </c>
      <c r="H46" s="92"/>
      <c r="I46" s="91">
        <f t="shared" si="29"/>
        <v>4.0000000000000003E-5</v>
      </c>
      <c r="J46" s="91">
        <f t="shared" si="30"/>
        <v>4.0000000000000003E-5</v>
      </c>
      <c r="K46" s="91">
        <f t="shared" si="31"/>
        <v>4.0000000000000003E-5</v>
      </c>
      <c r="L46" s="37"/>
      <c r="M46" s="54">
        <f t="shared" si="28"/>
        <v>0</v>
      </c>
      <c r="N46" s="54">
        <f t="shared" si="32"/>
        <v>0</v>
      </c>
      <c r="O46" s="54"/>
      <c r="P46" s="54">
        <f t="shared" si="33"/>
        <v>0</v>
      </c>
      <c r="Q46" s="89" t="str">
        <f>+'BOS G1ND'!Q31</f>
        <v>RDAF</v>
      </c>
    </row>
    <row r="47" spans="1:31" ht="14" x14ac:dyDescent="0.3">
      <c r="A47" s="67">
        <f t="shared" si="0"/>
        <v>47</v>
      </c>
      <c r="B47" s="31"/>
      <c r="C47" s="44" t="str">
        <f>+'BOS G1ND'!C32</f>
        <v>Distributed Solar Charge</v>
      </c>
      <c r="D47" s="44"/>
      <c r="E47" s="23"/>
      <c r="G47" s="91">
        <v>5.8999999999999999E-3</v>
      </c>
      <c r="H47" s="92"/>
      <c r="I47" s="91">
        <f t="shared" si="29"/>
        <v>5.8999999999999999E-3</v>
      </c>
      <c r="J47" s="91">
        <f t="shared" si="30"/>
        <v>5.8999999999999999E-3</v>
      </c>
      <c r="K47" s="91">
        <f t="shared" si="31"/>
        <v>5.8999999999999999E-3</v>
      </c>
      <c r="L47" s="37"/>
      <c r="M47" s="54">
        <f t="shared" si="28"/>
        <v>0</v>
      </c>
      <c r="N47" s="54">
        <f t="shared" si="32"/>
        <v>0</v>
      </c>
      <c r="O47" s="54"/>
      <c r="P47" s="54">
        <f t="shared" si="33"/>
        <v>0</v>
      </c>
      <c r="Q47" s="89" t="str">
        <f>+'BOS G1ND'!Q32</f>
        <v>SMART</v>
      </c>
    </row>
    <row r="48" spans="1:31" ht="14" x14ac:dyDescent="0.3">
      <c r="A48" s="67">
        <f t="shared" si="0"/>
        <v>48</v>
      </c>
      <c r="B48" s="31"/>
      <c r="C48" s="44" t="str">
        <f>+'BOS G1ND'!C33</f>
        <v>Residential Assistance Adjustment Factor</v>
      </c>
      <c r="D48" s="44"/>
      <c r="E48" s="23"/>
      <c r="G48" s="53">
        <v>6.0200000000000002E-3</v>
      </c>
      <c r="H48" s="92"/>
      <c r="I48" s="53">
        <f t="shared" si="29"/>
        <v>6.0200000000000002E-3</v>
      </c>
      <c r="J48" s="53">
        <f t="shared" si="30"/>
        <v>6.0200000000000002E-3</v>
      </c>
      <c r="K48" s="53">
        <f t="shared" si="31"/>
        <v>6.0200000000000002E-3</v>
      </c>
      <c r="L48" s="37"/>
      <c r="M48" s="54">
        <f t="shared" si="28"/>
        <v>0</v>
      </c>
      <c r="N48" s="54">
        <f t="shared" si="32"/>
        <v>0</v>
      </c>
      <c r="O48" s="54"/>
      <c r="P48" s="54">
        <f t="shared" si="33"/>
        <v>0</v>
      </c>
      <c r="Q48" s="89" t="str">
        <f>+'BOS G1ND'!Q33</f>
        <v>RAAF</v>
      </c>
    </row>
    <row r="49" spans="1:17" ht="14" x14ac:dyDescent="0.3">
      <c r="A49" s="67">
        <f t="shared" si="0"/>
        <v>49</v>
      </c>
      <c r="B49" s="31"/>
      <c r="C49" s="44" t="str">
        <f>+'BOS G1ND'!C34</f>
        <v>Pension Adjustment Factor</v>
      </c>
      <c r="D49" s="44"/>
      <c r="E49" s="23"/>
      <c r="G49" s="53">
        <v>5.8E-4</v>
      </c>
      <c r="H49" s="92"/>
      <c r="I49" s="53">
        <f t="shared" si="29"/>
        <v>5.8E-4</v>
      </c>
      <c r="J49" s="53">
        <f t="shared" si="30"/>
        <v>5.8E-4</v>
      </c>
      <c r="K49" s="53">
        <f t="shared" si="31"/>
        <v>5.8E-4</v>
      </c>
      <c r="L49" s="37"/>
      <c r="M49" s="54">
        <f t="shared" si="28"/>
        <v>0</v>
      </c>
      <c r="N49" s="54">
        <f t="shared" si="32"/>
        <v>0</v>
      </c>
      <c r="O49" s="54"/>
      <c r="P49" s="54">
        <f t="shared" si="33"/>
        <v>0</v>
      </c>
      <c r="Q49" s="89" t="str">
        <f>+'BOS G1ND'!Q34</f>
        <v>PAF</v>
      </c>
    </row>
    <row r="50" spans="1:17" ht="14" x14ac:dyDescent="0.3">
      <c r="A50" s="67">
        <f t="shared" si="0"/>
        <v>50</v>
      </c>
      <c r="B50" s="31"/>
      <c r="C50" s="44" t="str">
        <f>+'BOS G1ND'!C35</f>
        <v>Net Metering Recovery Surcharge</v>
      </c>
      <c r="D50" s="44"/>
      <c r="E50" s="23"/>
      <c r="G50" s="91">
        <v>1.197E-2</v>
      </c>
      <c r="H50" s="92"/>
      <c r="I50" s="91">
        <f t="shared" si="29"/>
        <v>1.197E-2</v>
      </c>
      <c r="J50" s="91">
        <f t="shared" si="30"/>
        <v>1.197E-2</v>
      </c>
      <c r="K50" s="91">
        <f t="shared" si="31"/>
        <v>1.197E-2</v>
      </c>
      <c r="L50" s="37"/>
      <c r="M50" s="54">
        <f t="shared" si="28"/>
        <v>0</v>
      </c>
      <c r="N50" s="54">
        <f t="shared" si="32"/>
        <v>0</v>
      </c>
      <c r="O50" s="54"/>
      <c r="P50" s="54">
        <f t="shared" si="33"/>
        <v>0</v>
      </c>
      <c r="Q50" s="89" t="str">
        <f>+'BOS G1ND'!Q35</f>
        <v>NMRS</v>
      </c>
    </row>
    <row r="51" spans="1:17" ht="14" x14ac:dyDescent="0.3">
      <c r="A51" s="67">
        <f t="shared" si="0"/>
        <v>51</v>
      </c>
      <c r="B51" s="31"/>
      <c r="C51" s="44" t="str">
        <f>+'BOS G1ND'!C36</f>
        <v>Long Term Renewable Contract Adjustment</v>
      </c>
      <c r="D51" s="44"/>
      <c r="E51" s="23"/>
      <c r="G51" s="53">
        <v>-1.9300000000000001E-3</v>
      </c>
      <c r="H51" s="92"/>
      <c r="I51" s="53">
        <f t="shared" si="29"/>
        <v>-1.9300000000000001E-3</v>
      </c>
      <c r="J51" s="53">
        <f t="shared" si="30"/>
        <v>-1.9300000000000001E-3</v>
      </c>
      <c r="K51" s="53">
        <f t="shared" si="31"/>
        <v>-1.9300000000000001E-3</v>
      </c>
      <c r="L51" s="37"/>
      <c r="M51" s="54">
        <f t="shared" si="28"/>
        <v>0</v>
      </c>
      <c r="N51" s="54">
        <f t="shared" si="32"/>
        <v>0</v>
      </c>
      <c r="O51" s="54"/>
      <c r="P51" s="54">
        <f t="shared" si="33"/>
        <v>0</v>
      </c>
      <c r="Q51" s="89" t="str">
        <f>+'BOS G1ND'!Q36</f>
        <v>LTRCA</v>
      </c>
    </row>
    <row r="52" spans="1:17" ht="14" x14ac:dyDescent="0.3">
      <c r="A52" s="67">
        <f t="shared" si="0"/>
        <v>52</v>
      </c>
      <c r="B52" s="31"/>
      <c r="C52" s="44" t="str">
        <f>+'BOS G1ND'!C37</f>
        <v>AG Consulting Expense</v>
      </c>
      <c r="G52" s="53">
        <v>4.0000000000000003E-5</v>
      </c>
      <c r="H52" s="92"/>
      <c r="I52" s="53">
        <f t="shared" si="29"/>
        <v>4.0000000000000003E-5</v>
      </c>
      <c r="J52" s="53">
        <f t="shared" si="30"/>
        <v>4.0000000000000003E-5</v>
      </c>
      <c r="K52" s="53">
        <f t="shared" si="31"/>
        <v>4.0000000000000003E-5</v>
      </c>
      <c r="L52" s="37"/>
      <c r="M52" s="54">
        <f t="shared" si="28"/>
        <v>0</v>
      </c>
      <c r="N52" s="54">
        <f t="shared" si="32"/>
        <v>0</v>
      </c>
      <c r="O52" s="54"/>
      <c r="P52" s="54">
        <f t="shared" si="33"/>
        <v>0</v>
      </c>
      <c r="Q52" s="89" t="str">
        <f>+'BOS G1ND'!Q37</f>
        <v>AGCE</v>
      </c>
    </row>
    <row r="53" spans="1:17" ht="14" x14ac:dyDescent="0.3">
      <c r="A53" s="67">
        <f t="shared" si="0"/>
        <v>53</v>
      </c>
      <c r="B53" s="31"/>
      <c r="C53" s="44" t="str">
        <f>+'BOS G1ND'!C38</f>
        <v>Storm Cost Recovery Adjustment Factor</v>
      </c>
      <c r="D53" s="44"/>
      <c r="E53" s="23"/>
      <c r="G53" s="53">
        <v>4.8900000000000002E-3</v>
      </c>
      <c r="H53" s="92"/>
      <c r="I53" s="53">
        <f t="shared" si="29"/>
        <v>4.8900000000000002E-3</v>
      </c>
      <c r="J53" s="53">
        <f t="shared" si="30"/>
        <v>4.8900000000000002E-3</v>
      </c>
      <c r="K53" s="53">
        <f t="shared" si="31"/>
        <v>4.8900000000000002E-3</v>
      </c>
      <c r="L53" s="37"/>
      <c r="M53" s="54">
        <f t="shared" si="28"/>
        <v>0</v>
      </c>
      <c r="N53" s="54">
        <f t="shared" si="32"/>
        <v>0</v>
      </c>
      <c r="O53" s="54"/>
      <c r="P53" s="54">
        <f t="shared" si="33"/>
        <v>0</v>
      </c>
      <c r="Q53" s="89" t="str">
        <f>+'BOS G1ND'!Q38</f>
        <v>SCRA</v>
      </c>
    </row>
    <row r="54" spans="1:17" ht="14" x14ac:dyDescent="0.3">
      <c r="A54" s="67">
        <f t="shared" si="0"/>
        <v>54</v>
      </c>
      <c r="B54" s="31"/>
      <c r="C54" s="44" t="str">
        <f>+'BOS G1ND'!C39</f>
        <v>Storm Reserve Adjustment</v>
      </c>
      <c r="D54" s="44"/>
      <c r="E54" s="23"/>
      <c r="G54" s="53">
        <v>0</v>
      </c>
      <c r="H54" s="92"/>
      <c r="I54" s="53">
        <f t="shared" si="29"/>
        <v>0</v>
      </c>
      <c r="J54" s="53">
        <f t="shared" si="30"/>
        <v>0</v>
      </c>
      <c r="K54" s="53">
        <f t="shared" si="31"/>
        <v>0</v>
      </c>
      <c r="L54" s="37"/>
      <c r="M54" s="54">
        <f t="shared" si="28"/>
        <v>0</v>
      </c>
      <c r="N54" s="54">
        <f t="shared" si="32"/>
        <v>0</v>
      </c>
      <c r="O54" s="54"/>
      <c r="P54" s="54">
        <f t="shared" si="33"/>
        <v>0</v>
      </c>
      <c r="Q54" s="89" t="str">
        <f>+'BOS G1ND'!Q39</f>
        <v>SRA</v>
      </c>
    </row>
    <row r="55" spans="1:17" ht="14" x14ac:dyDescent="0.3">
      <c r="A55" s="67">
        <f t="shared" si="0"/>
        <v>55</v>
      </c>
      <c r="B55" s="31"/>
      <c r="C55" s="44" t="str">
        <f>+'BOS G1ND'!C40</f>
        <v>Basic Service Cost True Up Factor</v>
      </c>
      <c r="D55" s="44"/>
      <c r="E55" s="23"/>
      <c r="G55" s="53">
        <v>-3.4000000000000002E-4</v>
      </c>
      <c r="H55" s="92"/>
      <c r="I55" s="53">
        <f t="shared" si="29"/>
        <v>-3.4000000000000002E-4</v>
      </c>
      <c r="J55" s="53">
        <f t="shared" si="30"/>
        <v>-3.4000000000000002E-4</v>
      </c>
      <c r="K55" s="53">
        <f t="shared" si="31"/>
        <v>-3.4000000000000002E-4</v>
      </c>
      <c r="L55" s="37"/>
      <c r="M55" s="54">
        <f t="shared" si="28"/>
        <v>0</v>
      </c>
      <c r="N55" s="54">
        <f t="shared" si="32"/>
        <v>0</v>
      </c>
      <c r="O55" s="54"/>
      <c r="P55" s="54">
        <f t="shared" si="33"/>
        <v>0</v>
      </c>
      <c r="Q55" s="89" t="str">
        <f>+'BOS G1ND'!Q40</f>
        <v>BSTF</v>
      </c>
    </row>
    <row r="56" spans="1:17" ht="14" x14ac:dyDescent="0.3">
      <c r="A56" s="67">
        <f t="shared" si="0"/>
        <v>56</v>
      </c>
      <c r="B56" s="31"/>
      <c r="C56" s="44" t="str">
        <f>+'BOS G1ND'!C41</f>
        <v>Solar Program Cost Adjustment Factor</v>
      </c>
      <c r="D56" s="37"/>
      <c r="E56" s="37"/>
      <c r="F56" s="53"/>
      <c r="G56" s="53">
        <v>1.0000000000000001E-5</v>
      </c>
      <c r="H56" s="53"/>
      <c r="I56" s="53">
        <f t="shared" si="29"/>
        <v>1.0000000000000001E-5</v>
      </c>
      <c r="J56" s="53">
        <f t="shared" si="30"/>
        <v>1.0000000000000001E-5</v>
      </c>
      <c r="K56" s="53">
        <f t="shared" si="31"/>
        <v>1.0000000000000001E-5</v>
      </c>
      <c r="L56" s="37"/>
      <c r="M56" s="54">
        <f t="shared" si="28"/>
        <v>0</v>
      </c>
      <c r="N56" s="54">
        <f t="shared" si="32"/>
        <v>0</v>
      </c>
      <c r="O56" s="54"/>
      <c r="P56" s="54">
        <f t="shared" si="33"/>
        <v>0</v>
      </c>
      <c r="Q56" s="89" t="str">
        <f>+'BOS G1ND'!Q41</f>
        <v>SPCA</v>
      </c>
    </row>
    <row r="57" spans="1:17" ht="14" x14ac:dyDescent="0.3">
      <c r="A57" s="67">
        <f t="shared" si="0"/>
        <v>57</v>
      </c>
      <c r="B57" s="31"/>
      <c r="C57" s="44" t="str">
        <f>+'BOS G1ND'!C42</f>
        <v>Solar Expansion Cost Recovery Factor</v>
      </c>
      <c r="D57" s="37"/>
      <c r="E57" s="37"/>
      <c r="F57" s="53"/>
      <c r="G57" s="53">
        <v>-3.6999999999999999E-4</v>
      </c>
      <c r="H57" s="53"/>
      <c r="I57" s="53">
        <f t="shared" si="29"/>
        <v>-3.6999999999999999E-4</v>
      </c>
      <c r="J57" s="53">
        <f t="shared" si="30"/>
        <v>-3.6999999999999999E-4</v>
      </c>
      <c r="K57" s="53">
        <f t="shared" si="31"/>
        <v>-3.6999999999999999E-4</v>
      </c>
      <c r="L57" s="37"/>
      <c r="M57" s="54">
        <f t="shared" si="28"/>
        <v>0</v>
      </c>
      <c r="N57" s="54">
        <f t="shared" si="32"/>
        <v>0</v>
      </c>
      <c r="O57" s="54"/>
      <c r="P57" s="54">
        <f t="shared" si="33"/>
        <v>0</v>
      </c>
      <c r="Q57" s="89" t="str">
        <f>+'BOS G1ND'!Q42</f>
        <v>SECRF</v>
      </c>
    </row>
    <row r="58" spans="1:17" ht="14" x14ac:dyDescent="0.3">
      <c r="A58" s="67">
        <f t="shared" si="0"/>
        <v>58</v>
      </c>
      <c r="B58" s="31"/>
      <c r="C58" s="44" t="str">
        <f>+'BOS G1ND'!C43</f>
        <v>Vegetation Management</v>
      </c>
      <c r="D58" s="44"/>
      <c r="E58" s="23"/>
      <c r="G58" s="53">
        <v>1.2999999999999999E-3</v>
      </c>
      <c r="H58" s="92"/>
      <c r="I58" s="53">
        <f t="shared" si="29"/>
        <v>1.2999999999999999E-3</v>
      </c>
      <c r="J58" s="53">
        <f t="shared" si="30"/>
        <v>1.2999999999999999E-3</v>
      </c>
      <c r="K58" s="53">
        <f t="shared" si="31"/>
        <v>1.2999999999999999E-3</v>
      </c>
      <c r="L58" s="37"/>
      <c r="M58" s="54">
        <f t="shared" si="28"/>
        <v>0</v>
      </c>
      <c r="N58" s="54">
        <f t="shared" si="32"/>
        <v>0</v>
      </c>
      <c r="O58" s="54"/>
      <c r="P58" s="54">
        <f t="shared" si="33"/>
        <v>0</v>
      </c>
      <c r="Q58" s="89" t="str">
        <f>+'BOS G1ND'!Q43</f>
        <v>RTWF</v>
      </c>
    </row>
    <row r="59" spans="1:17" ht="14" x14ac:dyDescent="0.3">
      <c r="A59" s="67">
        <f t="shared" si="0"/>
        <v>59</v>
      </c>
      <c r="B59" s="31"/>
      <c r="C59" s="44" t="str">
        <f>+'BOS G1ND'!C44</f>
        <v>Tax Act Credit Factor</v>
      </c>
      <c r="D59" s="44"/>
      <c r="E59" s="23"/>
      <c r="G59" s="53">
        <v>-1.33E-3</v>
      </c>
      <c r="H59" s="92"/>
      <c r="I59" s="53">
        <f t="shared" si="29"/>
        <v>-1.33E-3</v>
      </c>
      <c r="J59" s="53">
        <f t="shared" si="30"/>
        <v>-1.33E-3</v>
      </c>
      <c r="K59" s="53">
        <f t="shared" si="31"/>
        <v>-1.33E-3</v>
      </c>
      <c r="L59" s="37"/>
      <c r="M59" s="54">
        <f t="shared" si="28"/>
        <v>0</v>
      </c>
      <c r="N59" s="54">
        <f t="shared" si="32"/>
        <v>0</v>
      </c>
      <c r="O59" s="54"/>
      <c r="P59" s="54">
        <f t="shared" si="33"/>
        <v>0</v>
      </c>
      <c r="Q59" s="89" t="str">
        <f>+'BOS G1ND'!Q44</f>
        <v>TACF</v>
      </c>
    </row>
    <row r="60" spans="1:17" ht="14" x14ac:dyDescent="0.3">
      <c r="A60" s="67">
        <f t="shared" si="0"/>
        <v>60</v>
      </c>
      <c r="B60" s="31"/>
      <c r="C60" s="44" t="str">
        <f>+'BOS G1ND'!C45</f>
        <v>Grid Modernization</v>
      </c>
      <c r="D60" s="44"/>
      <c r="E60" s="23"/>
      <c r="G60" s="53">
        <v>1.65E-3</v>
      </c>
      <c r="H60" s="92"/>
      <c r="I60" s="53">
        <f t="shared" si="29"/>
        <v>1.65E-3</v>
      </c>
      <c r="J60" s="53">
        <f t="shared" si="30"/>
        <v>1.65E-3</v>
      </c>
      <c r="K60" s="53">
        <f t="shared" si="31"/>
        <v>1.65E-3</v>
      </c>
      <c r="L60" s="37"/>
      <c r="M60" s="54">
        <f t="shared" si="28"/>
        <v>0</v>
      </c>
      <c r="N60" s="54">
        <f t="shared" si="32"/>
        <v>0</v>
      </c>
      <c r="O60" s="54"/>
      <c r="P60" s="54">
        <f t="shared" si="33"/>
        <v>0</v>
      </c>
      <c r="Q60" s="89" t="str">
        <f>+'BOS G1ND'!Q45</f>
        <v>GMOD</v>
      </c>
    </row>
    <row r="61" spans="1:17" ht="14" x14ac:dyDescent="0.3">
      <c r="A61" s="67">
        <f t="shared" si="0"/>
        <v>61</v>
      </c>
      <c r="B61" s="31"/>
      <c r="C61" s="44" t="str">
        <f>+'BOS G1ND'!C46</f>
        <v>Advanced Metering Infrastructure</v>
      </c>
      <c r="D61" s="44"/>
      <c r="E61" s="23"/>
      <c r="G61" s="53">
        <v>2.1900000000000001E-3</v>
      </c>
      <c r="H61" s="92"/>
      <c r="I61" s="53">
        <f t="shared" si="29"/>
        <v>2.1900000000000001E-3</v>
      </c>
      <c r="J61" s="53">
        <f t="shared" si="30"/>
        <v>2.1900000000000001E-3</v>
      </c>
      <c r="K61" s="53">
        <f t="shared" si="31"/>
        <v>2.1900000000000001E-3</v>
      </c>
      <c r="L61" s="37"/>
      <c r="M61" s="54">
        <f t="shared" si="28"/>
        <v>0</v>
      </c>
      <c r="N61" s="54">
        <f t="shared" si="32"/>
        <v>0</v>
      </c>
      <c r="O61" s="54"/>
      <c r="P61" s="54">
        <f t="shared" si="33"/>
        <v>0</v>
      </c>
      <c r="Q61" s="89" t="str">
        <f>+'BOS G1ND'!Q46</f>
        <v>AMIF</v>
      </c>
    </row>
    <row r="62" spans="1:17" ht="14" x14ac:dyDescent="0.3">
      <c r="A62" s="67">
        <f t="shared" si="0"/>
        <v>62</v>
      </c>
      <c r="B62" s="31"/>
      <c r="C62" s="44" t="str">
        <f>+'BOS G1ND'!C47</f>
        <v>Electronic Payment Recovery</v>
      </c>
      <c r="D62" s="44"/>
      <c r="E62" s="23"/>
      <c r="G62" s="53">
        <v>0</v>
      </c>
      <c r="H62" s="92"/>
      <c r="I62" s="53">
        <f t="shared" si="29"/>
        <v>0</v>
      </c>
      <c r="J62" s="53">
        <f t="shared" si="30"/>
        <v>0</v>
      </c>
      <c r="K62" s="53">
        <f t="shared" si="31"/>
        <v>0</v>
      </c>
      <c r="L62" s="37"/>
      <c r="M62" s="54">
        <f t="shared" si="28"/>
        <v>0</v>
      </c>
      <c r="N62" s="54">
        <f t="shared" si="32"/>
        <v>0</v>
      </c>
      <c r="O62" s="54"/>
      <c r="P62" s="54">
        <f t="shared" si="33"/>
        <v>0</v>
      </c>
      <c r="Q62" s="89" t="str">
        <f>+'BOS G1ND'!Q47</f>
        <v>EPR</v>
      </c>
    </row>
    <row r="63" spans="1:17" ht="14" x14ac:dyDescent="0.3">
      <c r="A63" s="67">
        <f t="shared" si="0"/>
        <v>63</v>
      </c>
      <c r="B63" s="31"/>
      <c r="C63" s="44" t="str">
        <f>+'BOS G1ND'!C48</f>
        <v>Provisional System Planning Factor</v>
      </c>
      <c r="D63" s="44"/>
      <c r="E63" s="23"/>
      <c r="G63" s="91">
        <v>0</v>
      </c>
      <c r="H63" s="92"/>
      <c r="I63" s="91">
        <f t="shared" si="29"/>
        <v>0</v>
      </c>
      <c r="J63" s="91">
        <f t="shared" si="30"/>
        <v>0</v>
      </c>
      <c r="K63" s="91">
        <f t="shared" si="31"/>
        <v>0</v>
      </c>
      <c r="L63" s="37"/>
      <c r="M63" s="54">
        <f t="shared" si="28"/>
        <v>0</v>
      </c>
      <c r="N63" s="54">
        <f t="shared" si="32"/>
        <v>0</v>
      </c>
      <c r="O63" s="54"/>
      <c r="P63" s="54">
        <f t="shared" si="33"/>
        <v>0</v>
      </c>
      <c r="Q63" s="89" t="str">
        <f>+'BOS G1ND'!Q48</f>
        <v>PSPF</v>
      </c>
    </row>
    <row r="64" spans="1:17" ht="14" x14ac:dyDescent="0.3">
      <c r="A64" s="67">
        <f t="shared" si="0"/>
        <v>64</v>
      </c>
      <c r="B64" s="31"/>
      <c r="C64" s="44" t="str">
        <f>+'BOS G1ND'!C49</f>
        <v>Electric Vehicle Factor</v>
      </c>
      <c r="D64" s="44"/>
      <c r="E64" s="23"/>
      <c r="G64" s="91">
        <v>1.0300000000000001E-3</v>
      </c>
      <c r="H64" s="92"/>
      <c r="I64" s="91">
        <f t="shared" si="29"/>
        <v>1.0300000000000001E-3</v>
      </c>
      <c r="J64" s="91">
        <f t="shared" si="30"/>
        <v>1.0300000000000001E-3</v>
      </c>
      <c r="K64" s="91">
        <f t="shared" si="31"/>
        <v>1.0300000000000001E-3</v>
      </c>
      <c r="L64" s="37"/>
      <c r="M64" s="54">
        <f t="shared" si="28"/>
        <v>0</v>
      </c>
      <c r="N64" s="54">
        <f t="shared" si="32"/>
        <v>0</v>
      </c>
      <c r="O64" s="54"/>
      <c r="P64" s="54">
        <f t="shared" si="33"/>
        <v>0</v>
      </c>
      <c r="Q64" s="89" t="str">
        <f>+'BOS G1ND'!Q49</f>
        <v>EVF</v>
      </c>
    </row>
    <row r="65" spans="1:24" ht="14" x14ac:dyDescent="0.3">
      <c r="A65" s="67">
        <f t="shared" si="0"/>
        <v>65</v>
      </c>
      <c r="B65" s="31"/>
      <c r="C65" s="44" t="str">
        <f>+'BOS G1ND'!C50</f>
        <v>Transition</v>
      </c>
      <c r="D65" s="44"/>
      <c r="E65" s="23"/>
      <c r="G65" s="91">
        <v>-3.6999999999999999E-4</v>
      </c>
      <c r="H65" s="92"/>
      <c r="I65" s="91">
        <f t="shared" si="29"/>
        <v>-3.6999999999999999E-4</v>
      </c>
      <c r="J65" s="91">
        <f t="shared" si="30"/>
        <v>-3.6999999999999999E-4</v>
      </c>
      <c r="K65" s="91">
        <f t="shared" si="31"/>
        <v>-3.6999999999999999E-4</v>
      </c>
      <c r="L65" s="37"/>
      <c r="M65" s="54">
        <f t="shared" si="28"/>
        <v>0</v>
      </c>
      <c r="N65" s="54">
        <f t="shared" si="32"/>
        <v>0</v>
      </c>
      <c r="O65" s="54"/>
      <c r="P65" s="54">
        <f t="shared" si="33"/>
        <v>0</v>
      </c>
      <c r="Q65" s="89" t="str">
        <f>+'BOS G1ND'!Q50</f>
        <v>TRNSN</v>
      </c>
    </row>
    <row r="66" spans="1:24" ht="14" x14ac:dyDescent="0.3">
      <c r="A66" s="67">
        <f t="shared" si="0"/>
        <v>66</v>
      </c>
      <c r="B66" s="31"/>
      <c r="C66" s="44" t="s">
        <v>103</v>
      </c>
      <c r="G66" s="91">
        <v>3.1009999999999999E-2</v>
      </c>
      <c r="H66" s="92"/>
      <c r="I66" s="91">
        <f t="shared" si="29"/>
        <v>3.1009999999999999E-2</v>
      </c>
      <c r="J66" s="91">
        <f t="shared" si="30"/>
        <v>3.1009999999999999E-2</v>
      </c>
      <c r="K66" s="91">
        <f t="shared" si="31"/>
        <v>3.1009999999999999E-2</v>
      </c>
      <c r="L66" s="37"/>
      <c r="M66" s="54">
        <f t="shared" si="28"/>
        <v>0</v>
      </c>
      <c r="N66" s="54">
        <f t="shared" si="32"/>
        <v>0</v>
      </c>
      <c r="O66" s="54"/>
      <c r="P66" s="54">
        <f t="shared" si="33"/>
        <v>0</v>
      </c>
      <c r="Q66" s="51" t="s">
        <v>104</v>
      </c>
    </row>
    <row r="67" spans="1:24" ht="14" x14ac:dyDescent="0.3">
      <c r="A67" s="67">
        <f t="shared" ref="A67:A73" si="34">A66+1</f>
        <v>67</v>
      </c>
      <c r="C67" s="44" t="s">
        <v>105</v>
      </c>
      <c r="G67" s="91">
        <v>-8.1300000000000001E-3</v>
      </c>
      <c r="H67" s="92"/>
      <c r="I67" s="91">
        <v>1.038E-2</v>
      </c>
      <c r="J67" s="91">
        <v>1.333E-2</v>
      </c>
      <c r="K67" s="91">
        <v>1.3129999999999999E-2</v>
      </c>
      <c r="L67" s="37"/>
      <c r="M67" s="54">
        <f t="shared" si="28"/>
        <v>1.8509999999999999E-2</v>
      </c>
      <c r="N67" s="54">
        <f t="shared" si="32"/>
        <v>2.9499999999999995E-3</v>
      </c>
      <c r="O67" s="54"/>
      <c r="P67" s="54">
        <f t="shared" si="33"/>
        <v>-2.0000000000000052E-4</v>
      </c>
      <c r="Q67" s="89" t="s">
        <v>106</v>
      </c>
    </row>
    <row r="68" spans="1:24" ht="14" x14ac:dyDescent="0.3">
      <c r="A68" s="67">
        <f t="shared" si="34"/>
        <v>68</v>
      </c>
      <c r="C68" s="44" t="s">
        <v>107</v>
      </c>
      <c r="G68" s="91">
        <v>2.5000000000000001E-3</v>
      </c>
      <c r="H68" s="92"/>
      <c r="I68" s="91">
        <f t="shared" si="29"/>
        <v>2.5000000000000001E-3</v>
      </c>
      <c r="J68" s="91">
        <f t="shared" si="30"/>
        <v>2.5000000000000001E-3</v>
      </c>
      <c r="K68" s="91">
        <f t="shared" si="31"/>
        <v>2.5000000000000001E-3</v>
      </c>
      <c r="L68" s="37"/>
      <c r="M68" s="54">
        <f t="shared" si="28"/>
        <v>0</v>
      </c>
      <c r="N68" s="54">
        <f t="shared" si="32"/>
        <v>0</v>
      </c>
      <c r="O68" s="54"/>
      <c r="P68" s="54">
        <f t="shared" si="33"/>
        <v>0</v>
      </c>
      <c r="Q68" s="89" t="s">
        <v>108</v>
      </c>
    </row>
    <row r="69" spans="1:24" ht="14" x14ac:dyDescent="0.3">
      <c r="A69" s="67">
        <f t="shared" si="34"/>
        <v>69</v>
      </c>
      <c r="B69" s="31"/>
      <c r="C69" s="44" t="s">
        <v>109</v>
      </c>
      <c r="G69" s="91">
        <v>5.0000000000000001E-4</v>
      </c>
      <c r="H69" s="92"/>
      <c r="I69" s="91">
        <f t="shared" si="29"/>
        <v>5.0000000000000001E-4</v>
      </c>
      <c r="J69" s="91">
        <f t="shared" si="30"/>
        <v>5.0000000000000001E-4</v>
      </c>
      <c r="K69" s="91">
        <f t="shared" si="31"/>
        <v>5.0000000000000001E-4</v>
      </c>
      <c r="L69" s="136"/>
      <c r="M69" s="54">
        <f t="shared" si="28"/>
        <v>0</v>
      </c>
      <c r="N69" s="54">
        <f t="shared" si="32"/>
        <v>0</v>
      </c>
      <c r="O69" s="54"/>
      <c r="P69" s="54">
        <f t="shared" si="33"/>
        <v>0</v>
      </c>
      <c r="Q69" s="89" t="s">
        <v>110</v>
      </c>
    </row>
    <row r="70" spans="1:24" ht="14" x14ac:dyDescent="0.3">
      <c r="A70" s="67">
        <f t="shared" si="34"/>
        <v>70</v>
      </c>
      <c r="B70" s="31"/>
      <c r="C70" s="44" t="s">
        <v>111</v>
      </c>
      <c r="G70" s="53">
        <v>0.15676999999999999</v>
      </c>
      <c r="H70" s="92"/>
      <c r="I70" s="53">
        <f t="shared" si="29"/>
        <v>0.15676999999999999</v>
      </c>
      <c r="J70" s="53">
        <f t="shared" si="30"/>
        <v>0.15676999999999999</v>
      </c>
      <c r="K70" s="53">
        <f t="shared" si="31"/>
        <v>0.15676999999999999</v>
      </c>
      <c r="L70" s="136"/>
      <c r="M70" s="54">
        <f t="shared" si="28"/>
        <v>0</v>
      </c>
      <c r="N70" s="54">
        <f t="shared" si="32"/>
        <v>0</v>
      </c>
      <c r="O70" s="54"/>
      <c r="P70" s="54">
        <f t="shared" si="33"/>
        <v>0</v>
      </c>
      <c r="Q70" s="89" t="s">
        <v>112</v>
      </c>
    </row>
    <row r="71" spans="1:24" ht="14" x14ac:dyDescent="0.3">
      <c r="A71" s="67">
        <f t="shared" si="34"/>
        <v>71</v>
      </c>
      <c r="B71" s="31"/>
      <c r="C71" s="44"/>
      <c r="G71" s="53"/>
      <c r="H71" s="92"/>
      <c r="I71" s="53"/>
      <c r="J71" s="94"/>
      <c r="K71" s="44"/>
      <c r="X71" s="89"/>
    </row>
    <row r="72" spans="1:24" ht="14" x14ac:dyDescent="0.3">
      <c r="A72" s="67">
        <f t="shared" si="34"/>
        <v>72</v>
      </c>
      <c r="B72" s="31"/>
      <c r="C72" s="177" t="s">
        <v>167</v>
      </c>
      <c r="E72" s="178">
        <v>0.25</v>
      </c>
      <c r="G72" s="53"/>
      <c r="H72" s="92"/>
      <c r="I72" s="53"/>
      <c r="J72" s="94"/>
      <c r="K72" s="44"/>
      <c r="X72" s="89"/>
    </row>
    <row r="73" spans="1:24" ht="14" x14ac:dyDescent="0.3">
      <c r="A73" s="67">
        <f t="shared" si="34"/>
        <v>73</v>
      </c>
      <c r="B73" s="31"/>
      <c r="C73" s="177" t="s">
        <v>168</v>
      </c>
      <c r="E73" s="178">
        <v>0.75</v>
      </c>
      <c r="G73" s="53"/>
      <c r="H73" s="92"/>
      <c r="I73" s="53"/>
      <c r="J73" s="94"/>
      <c r="K73" s="44"/>
      <c r="X73" s="89"/>
    </row>
    <row r="74" spans="1:24" ht="14" x14ac:dyDescent="0.3">
      <c r="A74" s="67"/>
      <c r="B74" s="31"/>
      <c r="C74" s="44"/>
      <c r="G74" s="53"/>
      <c r="H74" s="92"/>
      <c r="I74" s="53"/>
      <c r="J74" s="94"/>
      <c r="K74" s="44"/>
      <c r="X74" s="89"/>
    </row>
    <row r="75" spans="1:24" ht="14" x14ac:dyDescent="0.3">
      <c r="A75" s="67"/>
      <c r="B75" s="31"/>
      <c r="C75" s="44"/>
      <c r="G75" s="136"/>
      <c r="H75" s="136"/>
      <c r="I75" s="136"/>
      <c r="J75" s="50"/>
      <c r="K75" s="44"/>
    </row>
    <row r="76" spans="1:24" ht="14" x14ac:dyDescent="0.3">
      <c r="A76" s="67"/>
      <c r="B76" s="31"/>
      <c r="C76" s="44" t="s">
        <v>58</v>
      </c>
      <c r="G76" s="88">
        <f>+G41</f>
        <v>20</v>
      </c>
      <c r="H76" s="142"/>
      <c r="I76" s="88">
        <f>+I41</f>
        <v>20</v>
      </c>
      <c r="J76" s="88">
        <f t="shared" ref="J76:K77" si="35">+J41</f>
        <v>20</v>
      </c>
      <c r="K76" s="88">
        <f t="shared" si="35"/>
        <v>20</v>
      </c>
    </row>
    <row r="77" spans="1:24" ht="14" x14ac:dyDescent="0.3">
      <c r="A77" s="67"/>
      <c r="B77" s="31"/>
      <c r="C77" s="44" t="s">
        <v>169</v>
      </c>
      <c r="G77" s="88">
        <f>+G42</f>
        <v>4.25</v>
      </c>
      <c r="H77" s="142"/>
      <c r="I77" s="88">
        <f>+I42</f>
        <v>4.25</v>
      </c>
      <c r="J77" s="88">
        <f t="shared" si="35"/>
        <v>4.25</v>
      </c>
      <c r="K77" s="88">
        <f t="shared" si="35"/>
        <v>4.25</v>
      </c>
    </row>
    <row r="78" spans="1:24" ht="14" x14ac:dyDescent="0.3">
      <c r="A78" s="67"/>
      <c r="B78" s="31"/>
      <c r="C78" s="44" t="s">
        <v>170</v>
      </c>
      <c r="G78" s="92">
        <f>SUM(G43,G45:G69)</f>
        <v>9.3259999999999996E-2</v>
      </c>
      <c r="H78" s="92"/>
      <c r="I78" s="92">
        <f>SUM(I43,I45:I69)</f>
        <v>0.11176999999999999</v>
      </c>
      <c r="J78" s="92">
        <f t="shared" ref="J78:K78" si="36">SUM(J43,J45:J69)</f>
        <v>0.11471999999999999</v>
      </c>
      <c r="K78" s="92">
        <f t="shared" si="36"/>
        <v>0.11452</v>
      </c>
    </row>
    <row r="79" spans="1:24" ht="14" x14ac:dyDescent="0.3">
      <c r="A79" s="67"/>
      <c r="B79" s="31"/>
      <c r="C79" s="44" t="s">
        <v>171</v>
      </c>
      <c r="G79" s="91">
        <f>SUM(G44:G69)</f>
        <v>8.3559999999999995E-2</v>
      </c>
      <c r="H79" s="92"/>
      <c r="I79" s="91">
        <f>SUM(I44:I69)</f>
        <v>0.10206999999999999</v>
      </c>
      <c r="J79" s="91">
        <f t="shared" ref="J79:K79" si="37">SUM(J44:J69)</f>
        <v>0.10501999999999999</v>
      </c>
      <c r="K79" s="91">
        <f t="shared" si="37"/>
        <v>0.10482</v>
      </c>
    </row>
    <row r="80" spans="1:24" ht="14" x14ac:dyDescent="0.3">
      <c r="A80" s="67"/>
      <c r="B80" s="31"/>
      <c r="C80" s="44" t="s">
        <v>123</v>
      </c>
      <c r="G80" s="91">
        <f>+G70</f>
        <v>0.15676999999999999</v>
      </c>
      <c r="H80" s="92"/>
      <c r="I80" s="91">
        <f>+I70</f>
        <v>0.15676999999999999</v>
      </c>
      <c r="J80" s="91">
        <f t="shared" ref="J80:K80" si="38">+J70</f>
        <v>0.15676999999999999</v>
      </c>
      <c r="K80" s="91">
        <f t="shared" si="38"/>
        <v>0.15676999999999999</v>
      </c>
    </row>
    <row r="81" spans="1:11" ht="14" x14ac:dyDescent="0.3">
      <c r="A81" s="31" t="str">
        <f>IF(C81&lt;&gt;"",COUNTA($C$11:C81),"")</f>
        <v/>
      </c>
      <c r="G81" s="136"/>
      <c r="H81" s="136"/>
      <c r="I81" s="136"/>
      <c r="J81" s="136"/>
      <c r="K81" s="44"/>
    </row>
    <row r="82" spans="1:11" ht="14" x14ac:dyDescent="0.3">
      <c r="A82" s="31"/>
      <c r="B82" s="31"/>
      <c r="I82" s="44"/>
      <c r="J82" s="44"/>
      <c r="K82" s="44"/>
    </row>
    <row r="83" spans="1:11" ht="14" x14ac:dyDescent="0.3">
      <c r="A83" s="31"/>
      <c r="B83" s="31"/>
      <c r="I83" s="44"/>
      <c r="J83" s="44"/>
      <c r="K83" s="44"/>
    </row>
    <row r="84" spans="1:11" ht="14" x14ac:dyDescent="0.3">
      <c r="A84" s="31"/>
      <c r="B84" s="31"/>
      <c r="I84" s="44"/>
      <c r="J84" s="44"/>
      <c r="K84" s="44"/>
    </row>
    <row r="85" spans="1:11" ht="14" x14ac:dyDescent="0.3">
      <c r="A85" s="31"/>
      <c r="B85" s="31"/>
      <c r="I85" s="44"/>
      <c r="J85" s="44"/>
      <c r="K85" s="44"/>
    </row>
    <row r="86" spans="1:11" ht="14" x14ac:dyDescent="0.3">
      <c r="A86" s="31"/>
      <c r="B86" s="31"/>
      <c r="I86" s="44"/>
      <c r="J86" s="44"/>
      <c r="K86" s="44"/>
    </row>
    <row r="87" spans="1:11" ht="14" x14ac:dyDescent="0.3">
      <c r="A87" s="31"/>
      <c r="B87" s="31"/>
      <c r="I87" s="44"/>
      <c r="J87" s="44"/>
      <c r="K87" s="44"/>
    </row>
    <row r="88" spans="1:11" ht="14" x14ac:dyDescent="0.3">
      <c r="A88" s="31"/>
      <c r="B88" s="31"/>
      <c r="I88" s="44"/>
      <c r="J88" s="44"/>
      <c r="K88" s="44"/>
    </row>
    <row r="89" spans="1:11" ht="14" x14ac:dyDescent="0.3">
      <c r="A89" s="31"/>
      <c r="B89" s="31"/>
      <c r="I89" s="44"/>
      <c r="J89" s="44"/>
      <c r="K89" s="44"/>
    </row>
    <row r="90" spans="1:11" ht="14" x14ac:dyDescent="0.3">
      <c r="A90" s="31"/>
      <c r="B90" s="31"/>
      <c r="I90" s="44"/>
      <c r="J90" s="44"/>
      <c r="K90" s="44"/>
    </row>
    <row r="91" spans="1:11" ht="14" x14ac:dyDescent="0.3">
      <c r="A91" s="31"/>
      <c r="B91" s="31"/>
      <c r="I91" s="44"/>
      <c r="J91" s="44"/>
      <c r="K91" s="44"/>
    </row>
    <row r="92" spans="1:11" ht="14" x14ac:dyDescent="0.3">
      <c r="A92" s="31"/>
      <c r="B92" s="31"/>
      <c r="I92" s="44"/>
      <c r="J92" s="44"/>
      <c r="K92" s="44"/>
    </row>
    <row r="93" spans="1:11" ht="14" x14ac:dyDescent="0.3">
      <c r="A93" s="31"/>
      <c r="B93" s="31"/>
      <c r="I93" s="44"/>
      <c r="J93" s="44"/>
      <c r="K93" s="44"/>
    </row>
    <row r="94" spans="1:11" ht="14" x14ac:dyDescent="0.3">
      <c r="A94" s="31"/>
      <c r="B94" s="31"/>
      <c r="I94" s="44"/>
      <c r="J94" s="44"/>
      <c r="K94" s="44"/>
    </row>
    <row r="95" spans="1:11" ht="14" x14ac:dyDescent="0.3">
      <c r="A95" s="31"/>
      <c r="B95" s="31"/>
      <c r="I95" s="44"/>
      <c r="J95" s="44"/>
      <c r="K95" s="44"/>
    </row>
    <row r="96" spans="1:11" ht="14" x14ac:dyDescent="0.3">
      <c r="A96" s="31"/>
      <c r="B96" s="31"/>
      <c r="I96" s="44"/>
      <c r="J96" s="44"/>
      <c r="K96" s="44"/>
    </row>
    <row r="97" spans="1:23" ht="14" x14ac:dyDescent="0.3">
      <c r="A97" s="31"/>
      <c r="B97" s="31"/>
      <c r="I97" s="44"/>
      <c r="J97" s="44"/>
      <c r="K97" s="44"/>
    </row>
    <row r="98" spans="1:23" ht="14" x14ac:dyDescent="0.3">
      <c r="A98" s="31"/>
      <c r="B98" s="31"/>
      <c r="I98" s="44"/>
      <c r="J98" s="44"/>
      <c r="K98" s="44"/>
    </row>
    <row r="99" spans="1:23" ht="14" x14ac:dyDescent="0.3">
      <c r="A99" s="31"/>
      <c r="B99" s="31"/>
      <c r="I99" s="44"/>
      <c r="J99" s="44"/>
      <c r="K99" s="44"/>
    </row>
    <row r="100" spans="1:23" ht="14" x14ac:dyDescent="0.3">
      <c r="A100" s="31"/>
      <c r="B100" s="31"/>
      <c r="I100" s="44"/>
      <c r="J100" s="44"/>
      <c r="K100" s="44"/>
    </row>
    <row r="101" spans="1:23" ht="14" x14ac:dyDescent="0.3">
      <c r="A101" s="31"/>
      <c r="B101" s="31"/>
      <c r="I101" s="44"/>
      <c r="J101" s="44"/>
      <c r="K101" s="44"/>
    </row>
    <row r="102" spans="1:23" ht="14" x14ac:dyDescent="0.3">
      <c r="A102" s="31"/>
      <c r="B102" s="31"/>
      <c r="I102" s="44"/>
      <c r="J102" s="44"/>
      <c r="K102" s="44"/>
    </row>
    <row r="103" spans="1:23" ht="14" x14ac:dyDescent="0.3">
      <c r="A103" s="31"/>
      <c r="B103" s="31"/>
      <c r="I103" s="44"/>
      <c r="J103" s="44"/>
      <c r="K103" s="44"/>
    </row>
    <row r="104" spans="1:23" ht="14" x14ac:dyDescent="0.3">
      <c r="A104" s="31"/>
      <c r="B104" s="31"/>
      <c r="I104" s="44"/>
      <c r="J104" s="44"/>
      <c r="K104" s="44"/>
    </row>
    <row r="105" spans="1:23" ht="14" x14ac:dyDescent="0.3">
      <c r="A105" s="31"/>
      <c r="B105" s="31"/>
      <c r="I105" s="44"/>
      <c r="J105" s="44"/>
      <c r="K105" s="44"/>
    </row>
    <row r="106" spans="1:23" ht="14" x14ac:dyDescent="0.3">
      <c r="A106" s="31"/>
      <c r="B106" s="31"/>
      <c r="I106" s="44"/>
      <c r="J106" s="44"/>
      <c r="K106" s="44"/>
    </row>
    <row r="107" spans="1:23" ht="14" x14ac:dyDescent="0.3">
      <c r="A107" s="31"/>
      <c r="B107" s="31"/>
      <c r="C107" s="179"/>
      <c r="D107" s="170"/>
      <c r="E107" s="170"/>
      <c r="F107" s="170"/>
      <c r="G107" s="170"/>
      <c r="H107" s="170"/>
      <c r="I107" s="180"/>
      <c r="J107" s="180"/>
      <c r="K107" s="18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</row>
    <row r="108" spans="1:23" ht="14" x14ac:dyDescent="0.3">
      <c r="A108" s="31"/>
      <c r="B108" s="31"/>
      <c r="C108" s="163"/>
      <c r="D108" s="163"/>
      <c r="E108" s="146"/>
      <c r="F108" s="146"/>
      <c r="G108" s="146"/>
      <c r="H108" s="147"/>
      <c r="I108" s="146"/>
      <c r="J108" s="146"/>
      <c r="K108" s="146"/>
      <c r="L108" s="147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8"/>
    </row>
    <row r="109" spans="1:23" ht="14" x14ac:dyDescent="0.3">
      <c r="A109" s="31"/>
      <c r="B109" s="31"/>
      <c r="I109" s="44"/>
      <c r="J109" s="44"/>
      <c r="K109" s="44"/>
    </row>
    <row r="110" spans="1:23" ht="14" x14ac:dyDescent="0.3">
      <c r="A110" s="31"/>
      <c r="B110" s="31"/>
      <c r="C110" s="163"/>
      <c r="D110" s="163"/>
      <c r="E110" s="146"/>
      <c r="F110" s="146"/>
      <c r="G110" s="146"/>
      <c r="H110" s="147"/>
      <c r="I110" s="146"/>
      <c r="J110" s="146"/>
      <c r="K110" s="146"/>
      <c r="L110" s="147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8"/>
    </row>
    <row r="111" spans="1:23" ht="14" x14ac:dyDescent="0.3">
      <c r="A111" s="31"/>
      <c r="B111" s="31"/>
      <c r="I111" s="44"/>
      <c r="J111" s="44"/>
      <c r="K111" s="44"/>
    </row>
    <row r="112" spans="1:23" ht="14" x14ac:dyDescent="0.3">
      <c r="A112" s="31"/>
      <c r="B112" s="31"/>
      <c r="I112" s="44"/>
      <c r="J112" s="44"/>
      <c r="K112" s="44"/>
    </row>
    <row r="113" spans="1:11" ht="14" x14ac:dyDescent="0.3">
      <c r="A113" s="31"/>
      <c r="B113" s="31"/>
      <c r="I113" s="44"/>
      <c r="J113" s="44"/>
      <c r="K113" s="44"/>
    </row>
    <row r="114" spans="1:11" ht="14" x14ac:dyDescent="0.3">
      <c r="A114" s="31"/>
      <c r="B114" s="31"/>
      <c r="I114" s="44"/>
      <c r="J114" s="44"/>
      <c r="K114" s="44"/>
    </row>
    <row r="115" spans="1:11" ht="14" x14ac:dyDescent="0.3">
      <c r="A115" s="31"/>
      <c r="B115" s="31"/>
      <c r="I115" s="44"/>
      <c r="J115" s="44"/>
      <c r="K115" s="44"/>
    </row>
    <row r="116" spans="1:11" ht="14" x14ac:dyDescent="0.3">
      <c r="A116" s="31"/>
      <c r="B116" s="31"/>
      <c r="I116" s="44"/>
      <c r="J116" s="44"/>
      <c r="K116" s="44"/>
    </row>
    <row r="117" spans="1:11" ht="14" x14ac:dyDescent="0.3">
      <c r="A117" s="31"/>
      <c r="B117" s="31"/>
      <c r="I117" s="44"/>
      <c r="J117" s="44"/>
      <c r="K117" s="44"/>
    </row>
    <row r="118" spans="1:11" ht="14" x14ac:dyDescent="0.3">
      <c r="A118" s="31"/>
      <c r="B118" s="31"/>
      <c r="I118" s="44"/>
      <c r="J118" s="44"/>
      <c r="K118" s="44"/>
    </row>
    <row r="119" spans="1:11" ht="14" x14ac:dyDescent="0.3">
      <c r="A119" s="31"/>
      <c r="B119" s="31"/>
      <c r="I119" s="44"/>
      <c r="J119" s="44"/>
      <c r="K119" s="44"/>
    </row>
    <row r="120" spans="1:11" ht="14" x14ac:dyDescent="0.3">
      <c r="A120" s="31"/>
      <c r="B120" s="31"/>
      <c r="I120" s="44"/>
      <c r="J120" s="44"/>
      <c r="K120" s="44"/>
    </row>
    <row r="121" spans="1:11" ht="14" x14ac:dyDescent="0.3">
      <c r="A121" s="31"/>
      <c r="B121" s="31"/>
      <c r="I121" s="44"/>
      <c r="J121" s="44"/>
      <c r="K121" s="44"/>
    </row>
    <row r="122" spans="1:11" ht="14" x14ac:dyDescent="0.3">
      <c r="A122" s="31"/>
      <c r="B122" s="31"/>
      <c r="I122" s="44"/>
      <c r="J122" s="44"/>
      <c r="K122" s="44"/>
    </row>
    <row r="123" spans="1:11" ht="14" x14ac:dyDescent="0.3">
      <c r="A123" s="31"/>
      <c r="B123" s="31"/>
      <c r="I123" s="44"/>
      <c r="J123" s="44"/>
      <c r="K123" s="44"/>
    </row>
    <row r="124" spans="1:11" ht="14" x14ac:dyDescent="0.3">
      <c r="A124" s="31"/>
      <c r="B124" s="31"/>
      <c r="I124" s="44"/>
      <c r="J124" s="44"/>
      <c r="K124" s="44"/>
    </row>
    <row r="125" spans="1:11" ht="14" x14ac:dyDescent="0.3">
      <c r="A125" s="31"/>
      <c r="B125" s="31"/>
      <c r="I125" s="44"/>
      <c r="J125" s="44"/>
      <c r="K125" s="44"/>
    </row>
    <row r="126" spans="1:11" ht="14" x14ac:dyDescent="0.3">
      <c r="A126" s="31"/>
      <c r="B126" s="31"/>
      <c r="I126" s="44"/>
      <c r="J126" s="44"/>
      <c r="K126" s="44"/>
    </row>
    <row r="127" spans="1:11" ht="14" x14ac:dyDescent="0.3">
      <c r="A127" s="31"/>
      <c r="B127" s="31"/>
      <c r="I127" s="44"/>
      <c r="J127" s="44"/>
      <c r="K127" s="44"/>
    </row>
    <row r="128" spans="1:11" ht="14" x14ac:dyDescent="0.3">
      <c r="A128" s="31"/>
      <c r="B128" s="31"/>
      <c r="I128" s="44"/>
      <c r="J128" s="44"/>
      <c r="K128" s="44"/>
    </row>
    <row r="129" spans="1:11" ht="14" x14ac:dyDescent="0.3">
      <c r="A129" s="31"/>
      <c r="B129" s="31"/>
      <c r="I129" s="44"/>
      <c r="J129" s="44"/>
      <c r="K129" s="44"/>
    </row>
    <row r="130" spans="1:11" ht="14" x14ac:dyDescent="0.3">
      <c r="A130" s="31"/>
      <c r="B130" s="31"/>
    </row>
    <row r="131" spans="1:11" ht="14" x14ac:dyDescent="0.3">
      <c r="A131" s="31"/>
      <c r="B131" s="31"/>
    </row>
    <row r="132" spans="1:11" ht="14" x14ac:dyDescent="0.3">
      <c r="A132" s="31"/>
      <c r="B132" s="31"/>
    </row>
    <row r="133" spans="1:11" ht="14" x14ac:dyDescent="0.3">
      <c r="A133" s="31"/>
      <c r="B133" s="31"/>
    </row>
    <row r="134" spans="1:11" ht="14" x14ac:dyDescent="0.3">
      <c r="A134" s="31"/>
      <c r="B134" s="31"/>
    </row>
    <row r="135" spans="1:11" ht="14" x14ac:dyDescent="0.3">
      <c r="A135" s="31"/>
      <c r="B135" s="31"/>
    </row>
    <row r="136" spans="1:11" ht="14" x14ac:dyDescent="0.3">
      <c r="A136" s="31"/>
      <c r="B136" s="31"/>
    </row>
    <row r="137" spans="1:11" ht="14" x14ac:dyDescent="0.3">
      <c r="A137" s="31"/>
      <c r="B137" s="31"/>
    </row>
    <row r="138" spans="1:11" ht="14" x14ac:dyDescent="0.3">
      <c r="A138" s="31"/>
      <c r="B138" s="31"/>
    </row>
    <row r="139" spans="1:11" ht="14" x14ac:dyDescent="0.3">
      <c r="A139" s="31"/>
      <c r="B139" s="31"/>
    </row>
    <row r="140" spans="1:11" ht="14" x14ac:dyDescent="0.3">
      <c r="A140" s="31"/>
      <c r="B140" s="31"/>
    </row>
    <row r="141" spans="1:11" ht="14" x14ac:dyDescent="0.3">
      <c r="A141" s="31"/>
      <c r="B141" s="31"/>
    </row>
    <row r="142" spans="1:11" ht="14" x14ac:dyDescent="0.3">
      <c r="A142" s="31"/>
      <c r="B142" s="31"/>
    </row>
    <row r="143" spans="1:11" ht="14" x14ac:dyDescent="0.3">
      <c r="A143" s="31"/>
      <c r="B143" s="31"/>
    </row>
    <row r="144" spans="1:11" ht="14" x14ac:dyDescent="0.3">
      <c r="A144" s="31"/>
      <c r="B144" s="31"/>
    </row>
    <row r="145" spans="1:2" ht="14" x14ac:dyDescent="0.3">
      <c r="A145" s="31"/>
      <c r="B145" s="31"/>
    </row>
    <row r="146" spans="1:2" ht="14" x14ac:dyDescent="0.3">
      <c r="A146" s="31"/>
      <c r="B146" s="31"/>
    </row>
  </sheetData>
  <mergeCells count="7">
    <mergeCell ref="AA11:AB11"/>
    <mergeCell ref="E11:G11"/>
    <mergeCell ref="I11:K11"/>
    <mergeCell ref="M11:N11"/>
    <mergeCell ref="P11:R11"/>
    <mergeCell ref="T11:U11"/>
    <mergeCell ref="W11:Y11"/>
  </mergeCells>
  <pageMargins left="0.7" right="0.7" top="0.75" bottom="0.75" header="0.3" footer="0.3"/>
  <pageSetup scale="35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89035-97DF-4EF1-85BB-C86BFF728EC2}">
  <sheetPr>
    <tabColor theme="3" tint="0.59999389629810485"/>
    <pageSetUpPr fitToPage="1"/>
  </sheetPr>
  <dimension ref="A1:AA119"/>
  <sheetViews>
    <sheetView zoomScaleNormal="100" workbookViewId="0"/>
  </sheetViews>
  <sheetFormatPr defaultColWidth="8.7265625" defaultRowHeight="14" x14ac:dyDescent="0.3"/>
  <cols>
    <col min="1" max="1" width="4.1796875" style="2" customWidth="1"/>
    <col min="2" max="2" width="4.453125" style="2" bestFit="1" customWidth="1"/>
    <col min="3" max="6" width="11.81640625" style="2" customWidth="1"/>
    <col min="7" max="7" width="2" style="2" customWidth="1"/>
    <col min="8" max="10" width="11.81640625" style="2" customWidth="1"/>
    <col min="11" max="11" width="2" style="2" customWidth="1"/>
    <col min="12" max="13" width="11.81640625" style="2" customWidth="1"/>
    <col min="14" max="14" width="2" style="2" customWidth="1"/>
    <col min="15" max="17" width="11.81640625" style="2" customWidth="1"/>
    <col min="18" max="18" width="2" style="2" customWidth="1"/>
    <col min="19" max="20" width="11.81640625" style="2" customWidth="1"/>
    <col min="21" max="21" width="2" style="2" customWidth="1"/>
    <col min="22" max="24" width="11.81640625" style="2" customWidth="1"/>
    <col min="25" max="25" width="2" style="2" customWidth="1"/>
    <col min="26" max="27" width="11.81640625" style="2" customWidth="1"/>
    <col min="28" max="16384" width="8.7265625" style="2"/>
  </cols>
  <sheetData>
    <row r="1" spans="1:27" x14ac:dyDescent="0.3">
      <c r="A1" s="1">
        <v>1</v>
      </c>
    </row>
    <row r="2" spans="1:27" x14ac:dyDescent="0.3">
      <c r="A2" s="1">
        <f>A1+1</f>
        <v>2</v>
      </c>
    </row>
    <row r="3" spans="1:27" x14ac:dyDescent="0.3">
      <c r="A3" s="1">
        <f t="shared" ref="A3:A66" si="0">A2+1</f>
        <v>3</v>
      </c>
      <c r="B3" s="24" t="s">
        <v>40</v>
      </c>
    </row>
    <row r="4" spans="1:27" x14ac:dyDescent="0.3">
      <c r="A4" s="1">
        <f t="shared" si="0"/>
        <v>4</v>
      </c>
      <c r="B4" s="24" t="s">
        <v>41</v>
      </c>
      <c r="C4" s="44"/>
      <c r="D4" s="149"/>
      <c r="E4" s="22"/>
      <c r="F4" s="150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7" x14ac:dyDescent="0.3">
      <c r="A5" s="1">
        <f t="shared" si="0"/>
        <v>5</v>
      </c>
      <c r="B5" s="24"/>
      <c r="C5" s="44"/>
      <c r="D5" s="149"/>
      <c r="E5" s="22"/>
      <c r="F5" s="150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7" x14ac:dyDescent="0.3">
      <c r="A6" s="1">
        <f t="shared" si="0"/>
        <v>6</v>
      </c>
      <c r="B6" s="24" t="s">
        <v>133</v>
      </c>
      <c r="C6" s="44"/>
      <c r="D6" s="149"/>
      <c r="E6" s="22"/>
      <c r="F6" s="150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7" x14ac:dyDescent="0.3">
      <c r="A7" s="1">
        <f t="shared" si="0"/>
        <v>7</v>
      </c>
      <c r="B7" s="24" t="s">
        <v>172</v>
      </c>
      <c r="C7" s="44"/>
      <c r="D7" s="149"/>
      <c r="E7" s="22"/>
      <c r="F7" s="150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7" x14ac:dyDescent="0.3">
      <c r="A8" s="1">
        <f t="shared" si="0"/>
        <v>8</v>
      </c>
      <c r="B8" s="130"/>
      <c r="C8" s="44"/>
      <c r="D8" s="149"/>
      <c r="E8" s="22"/>
      <c r="F8" s="150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7" x14ac:dyDescent="0.3">
      <c r="A9" s="1">
        <f t="shared" si="0"/>
        <v>9</v>
      </c>
      <c r="B9" s="104"/>
      <c r="C9" s="44"/>
      <c r="D9" s="44"/>
      <c r="E9" s="44"/>
      <c r="F9" s="131"/>
      <c r="G9" s="44"/>
    </row>
    <row r="10" spans="1:27" x14ac:dyDescent="0.3">
      <c r="A10" s="1">
        <f t="shared" si="0"/>
        <v>10</v>
      </c>
      <c r="B10" s="104"/>
      <c r="C10" s="44"/>
      <c r="D10" s="44"/>
      <c r="E10" s="44"/>
      <c r="F10" s="132"/>
      <c r="G10" s="44"/>
    </row>
    <row r="11" spans="1:27" x14ac:dyDescent="0.3">
      <c r="A11" s="1">
        <f t="shared" si="0"/>
        <v>11</v>
      </c>
      <c r="B11" s="31"/>
      <c r="C11" s="104" t="str">
        <f>+'BOS G1ND'!C11</f>
        <v>Monthly</v>
      </c>
      <c r="D11" s="32" t="s">
        <v>173</v>
      </c>
      <c r="E11" s="32"/>
      <c r="F11" s="32"/>
      <c r="G11" s="133"/>
      <c r="H11" s="32" t="s">
        <v>174</v>
      </c>
      <c r="I11" s="32"/>
      <c r="J11" s="32"/>
      <c r="K11" s="23"/>
      <c r="L11" s="32" t="s">
        <v>3</v>
      </c>
      <c r="M11" s="32"/>
      <c r="N11" s="27"/>
      <c r="O11" s="32" t="s">
        <v>175</v>
      </c>
      <c r="P11" s="32"/>
      <c r="Q11" s="32"/>
      <c r="R11" s="133"/>
      <c r="S11" s="32" t="s">
        <v>4</v>
      </c>
      <c r="T11" s="32"/>
      <c r="U11" s="23"/>
      <c r="V11" s="32" t="s">
        <v>176</v>
      </c>
      <c r="W11" s="32"/>
      <c r="X11" s="32"/>
      <c r="Y11" s="133"/>
      <c r="Z11" s="32" t="s">
        <v>5</v>
      </c>
      <c r="AA11" s="32"/>
    </row>
    <row r="12" spans="1:27" x14ac:dyDescent="0.3">
      <c r="A12" s="1">
        <f t="shared" si="0"/>
        <v>12</v>
      </c>
      <c r="B12" s="31"/>
      <c r="C12" s="134" t="s">
        <v>47</v>
      </c>
      <c r="D12" s="34" t="s">
        <v>48</v>
      </c>
      <c r="E12" s="34" t="s">
        <v>49</v>
      </c>
      <c r="F12" s="34" t="s">
        <v>50</v>
      </c>
      <c r="G12" s="34"/>
      <c r="H12" s="34" t="s">
        <v>48</v>
      </c>
      <c r="I12" s="34" t="s">
        <v>49</v>
      </c>
      <c r="J12" s="34" t="s">
        <v>50</v>
      </c>
      <c r="K12" s="23"/>
      <c r="L12" s="34" t="s">
        <v>51</v>
      </c>
      <c r="M12" s="34" t="s">
        <v>14</v>
      </c>
      <c r="N12" s="34"/>
      <c r="O12" s="34" t="s">
        <v>48</v>
      </c>
      <c r="P12" s="34" t="s">
        <v>49</v>
      </c>
      <c r="Q12" s="34" t="s">
        <v>50</v>
      </c>
      <c r="R12" s="34"/>
      <c r="S12" s="34" t="s">
        <v>51</v>
      </c>
      <c r="T12" s="34" t="s">
        <v>14</v>
      </c>
      <c r="U12" s="23"/>
      <c r="V12" s="34" t="s">
        <v>48</v>
      </c>
      <c r="W12" s="34" t="s">
        <v>49</v>
      </c>
      <c r="X12" s="34" t="s">
        <v>50</v>
      </c>
      <c r="Y12" s="34"/>
      <c r="Z12" s="34" t="s">
        <v>51</v>
      </c>
      <c r="AA12" s="34" t="s">
        <v>14</v>
      </c>
    </row>
    <row r="13" spans="1:27" x14ac:dyDescent="0.3">
      <c r="A13" s="1">
        <f t="shared" si="0"/>
        <v>13</v>
      </c>
      <c r="B13" s="31"/>
      <c r="C13" s="105">
        <v>100</v>
      </c>
      <c r="D13" s="135">
        <f>ROUND($H$78+($H$79*$C13*$E$74)+($H$80*$C13*$E$75),2)</f>
        <v>31.01</v>
      </c>
      <c r="E13" s="135">
        <f>ROUND($H$83*$C13,2)</f>
        <v>15.68</v>
      </c>
      <c r="F13" s="135">
        <f t="shared" ref="F13:F21" si="1">SUM(D13:E13)</f>
        <v>46.69</v>
      </c>
      <c r="G13" s="136"/>
      <c r="H13" s="135">
        <f>ROUND($I$78+($I$79*$C13*$E$74)+($I$80*$C13*$E$75),2)</f>
        <v>32.869999999999997</v>
      </c>
      <c r="I13" s="135">
        <f>ROUND($I$83*$C13,2)</f>
        <v>15.68</v>
      </c>
      <c r="J13" s="135">
        <f t="shared" ref="J13:J21" si="2">SUM(H13:I13)</f>
        <v>48.55</v>
      </c>
      <c r="K13" s="136"/>
      <c r="L13" s="135">
        <f>+J13-F13</f>
        <v>1.8599999999999994</v>
      </c>
      <c r="M13" s="137">
        <f>+L13/F13</f>
        <v>3.9837224245020335E-2</v>
      </c>
      <c r="N13" s="137"/>
      <c r="O13" s="135">
        <f>ROUND($J$78+($J$79*$C13*$E$74)+($J$80*$C13*$E$75),2)</f>
        <v>33.159999999999997</v>
      </c>
      <c r="P13" s="135">
        <f>ROUND($J$83*$C13,2)</f>
        <v>15.68</v>
      </c>
      <c r="Q13" s="135">
        <f t="shared" ref="Q13:Q21" si="3">SUM(O13:P13)</f>
        <v>48.839999999999996</v>
      </c>
      <c r="R13" s="136"/>
      <c r="S13" s="135">
        <f>+Q13-J13</f>
        <v>0.28999999999999915</v>
      </c>
      <c r="T13" s="137">
        <f>+S13/J13</f>
        <v>5.9732234809474595E-3</v>
      </c>
      <c r="U13" s="137"/>
      <c r="V13" s="135">
        <f>ROUND($L$78+($L$79*$C13*$E$74)+($L$80*$C13*$E$75),2)</f>
        <v>33.14</v>
      </c>
      <c r="W13" s="135">
        <f>ROUND($L$83*$C13,2)</f>
        <v>15.68</v>
      </c>
      <c r="X13" s="135">
        <f t="shared" ref="X13:X21" si="4">SUM(V13:W13)</f>
        <v>48.82</v>
      </c>
      <c r="Y13" s="136"/>
      <c r="Z13" s="135">
        <f>+X13-Q13</f>
        <v>-1.9999999999996021E-2</v>
      </c>
      <c r="AA13" s="137">
        <f>+Z13/Q13</f>
        <v>-4.0950040950032805E-4</v>
      </c>
    </row>
    <row r="14" spans="1:27" x14ac:dyDescent="0.3">
      <c r="A14" s="1">
        <f t="shared" si="0"/>
        <v>14</v>
      </c>
      <c r="B14" s="31"/>
      <c r="C14" s="105">
        <v>200</v>
      </c>
      <c r="D14" s="135">
        <f t="shared" ref="D14:D21" si="5">ROUND($H$78+($H$79*$C14*$E$74)+($H$80*$C14*$E$75),2)</f>
        <v>42.03</v>
      </c>
      <c r="E14" s="135">
        <f t="shared" ref="E14:E21" si="6">ROUND($H$83*$C14,2)</f>
        <v>31.35</v>
      </c>
      <c r="F14" s="135">
        <f t="shared" si="1"/>
        <v>73.38</v>
      </c>
      <c r="G14" s="136"/>
      <c r="H14" s="135">
        <f t="shared" ref="H14:H21" si="7">ROUND($I$78+($I$79*$C14*$E$74)+($I$80*$C14*$E$75),2)</f>
        <v>45.73</v>
      </c>
      <c r="I14" s="135">
        <f t="shared" ref="I14:I21" si="8">ROUND($I$83*$C14,2)</f>
        <v>31.35</v>
      </c>
      <c r="J14" s="135">
        <f t="shared" si="2"/>
        <v>77.08</v>
      </c>
      <c r="K14" s="136"/>
      <c r="L14" s="135">
        <f t="shared" ref="L14:L21" si="9">+J14-F14</f>
        <v>3.7000000000000028</v>
      </c>
      <c r="M14" s="137">
        <f t="shared" ref="M14:M21" si="10">+L14/F14</f>
        <v>5.0422458435541058E-2</v>
      </c>
      <c r="N14" s="137"/>
      <c r="O14" s="135">
        <f t="shared" ref="O14:O21" si="11">ROUND($J$78+($J$79*$C14*$E$74)+($J$80*$C14*$E$75),2)</f>
        <v>46.32</v>
      </c>
      <c r="P14" s="135">
        <f t="shared" ref="P14:P21" si="12">ROUND($J$83*$C14,2)</f>
        <v>31.35</v>
      </c>
      <c r="Q14" s="135">
        <f t="shared" si="3"/>
        <v>77.67</v>
      </c>
      <c r="R14" s="136"/>
      <c r="S14" s="135">
        <f t="shared" ref="S14:S21" si="13">+Q14-J14</f>
        <v>0.59000000000000341</v>
      </c>
      <c r="T14" s="137">
        <f t="shared" ref="T14:T21" si="14">+S14/J14</f>
        <v>7.654385054488887E-3</v>
      </c>
      <c r="U14" s="137"/>
      <c r="V14" s="135">
        <f t="shared" ref="V14:V21" si="15">ROUND($L$78+($L$79*$C14*$E$74)+($L$80*$C14*$E$75),2)</f>
        <v>46.28</v>
      </c>
      <c r="W14" s="135">
        <f t="shared" ref="W14:W21" si="16">ROUND($L$83*$C14,2)</f>
        <v>31.35</v>
      </c>
      <c r="X14" s="135">
        <f t="shared" si="4"/>
        <v>77.63</v>
      </c>
      <c r="Y14" s="136"/>
      <c r="Z14" s="135">
        <f t="shared" ref="Z14:Z21" si="17">+X14-Q14</f>
        <v>-4.0000000000006253E-2</v>
      </c>
      <c r="AA14" s="137">
        <f t="shared" ref="AA14:AA21" si="18">+Z14/Q14</f>
        <v>-5.1499935625088516E-4</v>
      </c>
    </row>
    <row r="15" spans="1:27" x14ac:dyDescent="0.3">
      <c r="A15" s="1">
        <f t="shared" si="0"/>
        <v>15</v>
      </c>
      <c r="B15" s="31"/>
      <c r="C15" s="105">
        <v>300</v>
      </c>
      <c r="D15" s="135">
        <f t="shared" si="5"/>
        <v>53.04</v>
      </c>
      <c r="E15" s="135">
        <f t="shared" si="6"/>
        <v>47.03</v>
      </c>
      <c r="F15" s="135">
        <f t="shared" si="1"/>
        <v>100.07</v>
      </c>
      <c r="G15" s="136"/>
      <c r="H15" s="135">
        <f>ROUND($I$78+($I$79*$C15*$E$74)+($I$80*$C15*$E$75),2)</f>
        <v>58.6</v>
      </c>
      <c r="I15" s="135">
        <f t="shared" si="8"/>
        <v>47.03</v>
      </c>
      <c r="J15" s="135">
        <f t="shared" si="2"/>
        <v>105.63</v>
      </c>
      <c r="K15" s="136"/>
      <c r="L15" s="135">
        <f t="shared" si="9"/>
        <v>5.5600000000000023</v>
      </c>
      <c r="M15" s="137">
        <f t="shared" si="10"/>
        <v>5.556110722494257E-2</v>
      </c>
      <c r="N15" s="137"/>
      <c r="O15" s="135">
        <f t="shared" si="11"/>
        <v>59.48</v>
      </c>
      <c r="P15" s="135">
        <f t="shared" si="12"/>
        <v>47.03</v>
      </c>
      <c r="Q15" s="135">
        <f t="shared" si="3"/>
        <v>106.50999999999999</v>
      </c>
      <c r="R15" s="136"/>
      <c r="S15" s="135">
        <f t="shared" si="13"/>
        <v>0.87999999999999545</v>
      </c>
      <c r="T15" s="137">
        <f t="shared" si="14"/>
        <v>8.3309665814635565E-3</v>
      </c>
      <c r="U15" s="137"/>
      <c r="V15" s="135">
        <f t="shared" si="15"/>
        <v>59.42</v>
      </c>
      <c r="W15" s="135">
        <f t="shared" si="16"/>
        <v>47.03</v>
      </c>
      <c r="X15" s="135">
        <f t="shared" si="4"/>
        <v>106.45</v>
      </c>
      <c r="Y15" s="136"/>
      <c r="Z15" s="135">
        <f t="shared" si="17"/>
        <v>-5.9999999999988063E-2</v>
      </c>
      <c r="AA15" s="137">
        <f t="shared" si="18"/>
        <v>-5.6332738709969081E-4</v>
      </c>
    </row>
    <row r="16" spans="1:27" x14ac:dyDescent="0.3">
      <c r="A16" s="1">
        <f t="shared" si="0"/>
        <v>16</v>
      </c>
      <c r="B16" s="31"/>
      <c r="C16" s="105">
        <v>400</v>
      </c>
      <c r="D16" s="135">
        <f>ROUND($H$78+($H$79*$C16*$E$74)+($H$80*$C16*$E$75),2)</f>
        <v>64.06</v>
      </c>
      <c r="E16" s="135">
        <f t="shared" si="6"/>
        <v>62.71</v>
      </c>
      <c r="F16" s="135">
        <f t="shared" si="1"/>
        <v>126.77000000000001</v>
      </c>
      <c r="G16" s="136"/>
      <c r="H16" s="135">
        <f t="shared" si="7"/>
        <v>71.459999999999994</v>
      </c>
      <c r="I16" s="135">
        <f t="shared" si="8"/>
        <v>62.71</v>
      </c>
      <c r="J16" s="135">
        <f t="shared" si="2"/>
        <v>134.16999999999999</v>
      </c>
      <c r="K16" s="136"/>
      <c r="L16" s="135">
        <f t="shared" si="9"/>
        <v>7.3999999999999773</v>
      </c>
      <c r="M16" s="137">
        <f t="shared" si="10"/>
        <v>5.8373432200047148E-2</v>
      </c>
      <c r="N16" s="137"/>
      <c r="O16" s="135">
        <f>ROUND($J$78+($J$79*$C16*$E$74)+($J$80*$C16*$E$75),2)</f>
        <v>72.64</v>
      </c>
      <c r="P16" s="135">
        <f t="shared" si="12"/>
        <v>62.71</v>
      </c>
      <c r="Q16" s="135">
        <f t="shared" si="3"/>
        <v>135.35</v>
      </c>
      <c r="R16" s="136"/>
      <c r="S16" s="135">
        <f t="shared" si="13"/>
        <v>1.1800000000000068</v>
      </c>
      <c r="T16" s="137">
        <f t="shared" si="14"/>
        <v>8.7948125512410154E-3</v>
      </c>
      <c r="U16" s="137"/>
      <c r="V16" s="135">
        <f>ROUND($L$78+($L$79*$C16*$E$74)+($L$80*$C16*$E$75),2)</f>
        <v>72.56</v>
      </c>
      <c r="W16" s="135">
        <f t="shared" si="16"/>
        <v>62.71</v>
      </c>
      <c r="X16" s="135">
        <f t="shared" si="4"/>
        <v>135.27000000000001</v>
      </c>
      <c r="Y16" s="136"/>
      <c r="Z16" s="135">
        <f t="shared" si="17"/>
        <v>-7.9999999999984084E-2</v>
      </c>
      <c r="AA16" s="137">
        <f t="shared" si="18"/>
        <v>-5.9106021425921011E-4</v>
      </c>
    </row>
    <row r="17" spans="1:27" x14ac:dyDescent="0.3">
      <c r="A17" s="1">
        <f t="shared" si="0"/>
        <v>17</v>
      </c>
      <c r="B17" s="31"/>
      <c r="C17" s="105">
        <v>500</v>
      </c>
      <c r="D17" s="135">
        <f t="shared" si="5"/>
        <v>75.069999999999993</v>
      </c>
      <c r="E17" s="135">
        <f t="shared" si="6"/>
        <v>78.39</v>
      </c>
      <c r="F17" s="135">
        <f t="shared" si="1"/>
        <v>153.45999999999998</v>
      </c>
      <c r="G17" s="136"/>
      <c r="H17" s="135">
        <f t="shared" si="7"/>
        <v>84.33</v>
      </c>
      <c r="I17" s="135">
        <f t="shared" si="8"/>
        <v>78.39</v>
      </c>
      <c r="J17" s="135">
        <f t="shared" si="2"/>
        <v>162.72</v>
      </c>
      <c r="K17" s="136"/>
      <c r="L17" s="135">
        <f t="shared" si="9"/>
        <v>9.2600000000000193</v>
      </c>
      <c r="M17" s="137">
        <f t="shared" si="10"/>
        <v>6.0341457057213742E-2</v>
      </c>
      <c r="N17" s="137"/>
      <c r="O17" s="135">
        <f t="shared" si="11"/>
        <v>85.8</v>
      </c>
      <c r="P17" s="135">
        <f t="shared" si="12"/>
        <v>78.39</v>
      </c>
      <c r="Q17" s="135">
        <f t="shared" si="3"/>
        <v>164.19</v>
      </c>
      <c r="R17" s="136"/>
      <c r="S17" s="135">
        <f t="shared" si="13"/>
        <v>1.4699999999999989</v>
      </c>
      <c r="T17" s="137">
        <f t="shared" si="14"/>
        <v>9.0339233038348021E-3</v>
      </c>
      <c r="U17" s="137"/>
      <c r="V17" s="135">
        <f t="shared" si="15"/>
        <v>85.7</v>
      </c>
      <c r="W17" s="135">
        <f t="shared" si="16"/>
        <v>78.39</v>
      </c>
      <c r="X17" s="135">
        <f t="shared" si="4"/>
        <v>164.09</v>
      </c>
      <c r="Y17" s="136"/>
      <c r="Z17" s="135">
        <f t="shared" si="17"/>
        <v>-9.9999999999994316E-2</v>
      </c>
      <c r="AA17" s="137">
        <f t="shared" si="18"/>
        <v>-6.0905049028561005E-4</v>
      </c>
    </row>
    <row r="18" spans="1:27" x14ac:dyDescent="0.3">
      <c r="A18" s="1">
        <f t="shared" si="0"/>
        <v>18</v>
      </c>
      <c r="B18" s="31"/>
      <c r="C18" s="105">
        <v>600</v>
      </c>
      <c r="D18" s="135">
        <f t="shared" si="5"/>
        <v>86.08</v>
      </c>
      <c r="E18" s="135">
        <f t="shared" si="6"/>
        <v>94.06</v>
      </c>
      <c r="F18" s="135">
        <f t="shared" si="1"/>
        <v>180.14</v>
      </c>
      <c r="G18" s="136"/>
      <c r="H18" s="135">
        <f t="shared" si="7"/>
        <v>97.19</v>
      </c>
      <c r="I18" s="135">
        <f t="shared" si="8"/>
        <v>94.06</v>
      </c>
      <c r="J18" s="135">
        <f t="shared" si="2"/>
        <v>191.25</v>
      </c>
      <c r="K18" s="136"/>
      <c r="L18" s="135">
        <f t="shared" si="9"/>
        <v>11.110000000000014</v>
      </c>
      <c r="M18" s="137">
        <f t="shared" si="10"/>
        <v>6.1674253358499027E-2</v>
      </c>
      <c r="N18" s="137"/>
      <c r="O18" s="135">
        <f t="shared" si="11"/>
        <v>98.96</v>
      </c>
      <c r="P18" s="135">
        <f t="shared" si="12"/>
        <v>94.06</v>
      </c>
      <c r="Q18" s="135">
        <f t="shared" si="3"/>
        <v>193.01999999999998</v>
      </c>
      <c r="R18" s="136"/>
      <c r="S18" s="135">
        <f t="shared" si="13"/>
        <v>1.7699999999999818</v>
      </c>
      <c r="T18" s="137">
        <f t="shared" si="14"/>
        <v>9.254901960784219E-3</v>
      </c>
      <c r="U18" s="137"/>
      <c r="V18" s="135">
        <f t="shared" si="15"/>
        <v>98.84</v>
      </c>
      <c r="W18" s="135">
        <f t="shared" si="16"/>
        <v>94.06</v>
      </c>
      <c r="X18" s="135">
        <f t="shared" si="4"/>
        <v>192.9</v>
      </c>
      <c r="Y18" s="136"/>
      <c r="Z18" s="135">
        <f t="shared" si="17"/>
        <v>-0.11999999999997613</v>
      </c>
      <c r="AA18" s="137">
        <f t="shared" si="18"/>
        <v>-6.2169723344718752E-4</v>
      </c>
    </row>
    <row r="19" spans="1:27" x14ac:dyDescent="0.3">
      <c r="A19" s="1">
        <f t="shared" si="0"/>
        <v>19</v>
      </c>
      <c r="B19" s="31"/>
      <c r="C19" s="105">
        <v>700</v>
      </c>
      <c r="D19" s="135">
        <f t="shared" si="5"/>
        <v>97.1</v>
      </c>
      <c r="E19" s="135">
        <f t="shared" si="6"/>
        <v>109.74</v>
      </c>
      <c r="F19" s="135">
        <f t="shared" si="1"/>
        <v>206.83999999999997</v>
      </c>
      <c r="G19" s="136"/>
      <c r="H19" s="135">
        <f t="shared" si="7"/>
        <v>110.06</v>
      </c>
      <c r="I19" s="135">
        <f t="shared" si="8"/>
        <v>109.74</v>
      </c>
      <c r="J19" s="135">
        <f t="shared" si="2"/>
        <v>219.8</v>
      </c>
      <c r="K19" s="136"/>
      <c r="L19" s="135">
        <f t="shared" si="9"/>
        <v>12.960000000000036</v>
      </c>
      <c r="M19" s="137">
        <f t="shared" si="10"/>
        <v>6.2657126281183709E-2</v>
      </c>
      <c r="N19" s="137"/>
      <c r="O19" s="135">
        <f t="shared" si="11"/>
        <v>112.12</v>
      </c>
      <c r="P19" s="135">
        <f t="shared" si="12"/>
        <v>109.74</v>
      </c>
      <c r="Q19" s="135">
        <f t="shared" si="3"/>
        <v>221.86</v>
      </c>
      <c r="R19" s="136"/>
      <c r="S19" s="135">
        <f t="shared" si="13"/>
        <v>2.0600000000000023</v>
      </c>
      <c r="T19" s="137">
        <f t="shared" si="14"/>
        <v>9.3721565059144783E-3</v>
      </c>
      <c r="U19" s="137"/>
      <c r="V19" s="135">
        <f t="shared" si="15"/>
        <v>111.98</v>
      </c>
      <c r="W19" s="135">
        <f t="shared" si="16"/>
        <v>109.74</v>
      </c>
      <c r="X19" s="135">
        <f t="shared" si="4"/>
        <v>221.72</v>
      </c>
      <c r="Y19" s="136"/>
      <c r="Z19" s="135">
        <f t="shared" si="17"/>
        <v>-0.14000000000001478</v>
      </c>
      <c r="AA19" s="137">
        <f t="shared" si="18"/>
        <v>-6.3102857657989174E-4</v>
      </c>
    </row>
    <row r="20" spans="1:27" x14ac:dyDescent="0.3">
      <c r="A20" s="1">
        <f t="shared" si="0"/>
        <v>20</v>
      </c>
      <c r="B20" s="31"/>
      <c r="C20" s="105">
        <v>800</v>
      </c>
      <c r="D20" s="135">
        <f t="shared" si="5"/>
        <v>108.11</v>
      </c>
      <c r="E20" s="135">
        <f>ROUND($H$83*$C20,2)</f>
        <v>125.42</v>
      </c>
      <c r="F20" s="135">
        <f t="shared" si="1"/>
        <v>233.53</v>
      </c>
      <c r="G20" s="136"/>
      <c r="H20" s="135">
        <f t="shared" si="7"/>
        <v>122.92</v>
      </c>
      <c r="I20" s="135">
        <f t="shared" si="8"/>
        <v>125.42</v>
      </c>
      <c r="J20" s="135">
        <f t="shared" si="2"/>
        <v>248.34</v>
      </c>
      <c r="K20" s="136"/>
      <c r="L20" s="135">
        <f t="shared" si="9"/>
        <v>14.810000000000002</v>
      </c>
      <c r="M20" s="137">
        <f t="shared" si="10"/>
        <v>6.3417976277137855E-2</v>
      </c>
      <c r="N20" s="137"/>
      <c r="O20" s="135">
        <f t="shared" si="11"/>
        <v>125.28</v>
      </c>
      <c r="P20" s="135">
        <f t="shared" si="12"/>
        <v>125.42</v>
      </c>
      <c r="Q20" s="135">
        <f t="shared" si="3"/>
        <v>250.7</v>
      </c>
      <c r="R20" s="136"/>
      <c r="S20" s="135">
        <f t="shared" si="13"/>
        <v>2.3599999999999852</v>
      </c>
      <c r="T20" s="137">
        <f t="shared" si="14"/>
        <v>9.5031005879036203E-3</v>
      </c>
      <c r="U20" s="137"/>
      <c r="V20" s="135">
        <f t="shared" si="15"/>
        <v>125.12</v>
      </c>
      <c r="W20" s="135">
        <f t="shared" si="16"/>
        <v>125.42</v>
      </c>
      <c r="X20" s="135">
        <f t="shared" si="4"/>
        <v>250.54000000000002</v>
      </c>
      <c r="Y20" s="136"/>
      <c r="Z20" s="135">
        <f t="shared" si="17"/>
        <v>-0.15999999999996817</v>
      </c>
      <c r="AA20" s="137">
        <f t="shared" si="18"/>
        <v>-6.3821300358982125E-4</v>
      </c>
    </row>
    <row r="21" spans="1:27" x14ac:dyDescent="0.3">
      <c r="A21" s="1">
        <f t="shared" si="0"/>
        <v>21</v>
      </c>
      <c r="B21" s="31" t="s">
        <v>52</v>
      </c>
      <c r="C21" s="105">
        <v>475</v>
      </c>
      <c r="D21" s="135">
        <f t="shared" si="5"/>
        <v>72.319999999999993</v>
      </c>
      <c r="E21" s="135">
        <f t="shared" si="6"/>
        <v>74.47</v>
      </c>
      <c r="F21" s="135">
        <f t="shared" si="1"/>
        <v>146.79</v>
      </c>
      <c r="G21" s="136"/>
      <c r="H21" s="135">
        <f t="shared" si="7"/>
        <v>81.11</v>
      </c>
      <c r="I21" s="135">
        <f t="shared" si="8"/>
        <v>74.47</v>
      </c>
      <c r="J21" s="135">
        <f t="shared" si="2"/>
        <v>155.57999999999998</v>
      </c>
      <c r="K21" s="136"/>
      <c r="L21" s="135">
        <f t="shared" si="9"/>
        <v>8.789999999999992</v>
      </c>
      <c r="M21" s="137">
        <f t="shared" si="10"/>
        <v>5.9881463314939661E-2</v>
      </c>
      <c r="N21" s="137"/>
      <c r="O21" s="135">
        <f t="shared" si="11"/>
        <v>82.51</v>
      </c>
      <c r="P21" s="135">
        <f t="shared" si="12"/>
        <v>74.47</v>
      </c>
      <c r="Q21" s="135">
        <f t="shared" si="3"/>
        <v>156.98000000000002</v>
      </c>
      <c r="R21" s="136"/>
      <c r="S21" s="135">
        <f t="shared" si="13"/>
        <v>1.4000000000000341</v>
      </c>
      <c r="T21" s="137">
        <f t="shared" si="14"/>
        <v>8.9985859364959137E-3</v>
      </c>
      <c r="U21" s="137"/>
      <c r="V21" s="135">
        <f t="shared" si="15"/>
        <v>82.42</v>
      </c>
      <c r="W21" s="135">
        <f t="shared" si="16"/>
        <v>74.47</v>
      </c>
      <c r="X21" s="135">
        <f t="shared" si="4"/>
        <v>156.88999999999999</v>
      </c>
      <c r="Y21" s="136"/>
      <c r="Z21" s="135">
        <f t="shared" si="17"/>
        <v>-9.0000000000031832E-2</v>
      </c>
      <c r="AA21" s="137">
        <f t="shared" si="18"/>
        <v>-5.7332144222214184E-4</v>
      </c>
    </row>
    <row r="22" spans="1:27" x14ac:dyDescent="0.3">
      <c r="A22" s="1">
        <f t="shared" si="0"/>
        <v>22</v>
      </c>
      <c r="B22" s="31"/>
      <c r="C22" s="105"/>
      <c r="D22" s="135"/>
      <c r="E22" s="135"/>
      <c r="F22" s="135"/>
      <c r="G22" s="136"/>
      <c r="H22" s="136"/>
      <c r="I22" s="136"/>
      <c r="J22" s="136"/>
      <c r="K22" s="136"/>
      <c r="L22" s="136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7" x14ac:dyDescent="0.3">
      <c r="A23" s="1">
        <f t="shared" si="0"/>
        <v>23</v>
      </c>
      <c r="B23" s="31"/>
      <c r="C23" s="104" t="str">
        <f>+C11</f>
        <v>Monthly</v>
      </c>
      <c r="D23" s="32" t="s">
        <v>177</v>
      </c>
      <c r="E23" s="32"/>
      <c r="F23" s="32"/>
      <c r="G23" s="133"/>
      <c r="H23" s="32" t="s">
        <v>178</v>
      </c>
      <c r="I23" s="32"/>
      <c r="J23" s="32"/>
      <c r="K23" s="23"/>
      <c r="L23" s="32" t="s">
        <v>3</v>
      </c>
      <c r="M23" s="32"/>
      <c r="N23" s="27"/>
      <c r="O23" s="32" t="s">
        <v>179</v>
      </c>
      <c r="P23" s="32"/>
      <c r="Q23" s="32"/>
      <c r="R23" s="133"/>
      <c r="S23" s="32" t="s">
        <v>4</v>
      </c>
      <c r="T23" s="32"/>
      <c r="U23" s="23"/>
      <c r="V23" s="32" t="s">
        <v>180</v>
      </c>
      <c r="W23" s="32"/>
      <c r="X23" s="32"/>
      <c r="Y23" s="133"/>
      <c r="Z23" s="32" t="s">
        <v>5</v>
      </c>
      <c r="AA23" s="32"/>
    </row>
    <row r="24" spans="1:27" x14ac:dyDescent="0.3">
      <c r="A24" s="1">
        <f t="shared" si="0"/>
        <v>24</v>
      </c>
      <c r="B24" s="31"/>
      <c r="C24" s="134" t="s">
        <v>47</v>
      </c>
      <c r="D24" s="34" t="s">
        <v>48</v>
      </c>
      <c r="E24" s="34" t="s">
        <v>49</v>
      </c>
      <c r="F24" s="34" t="s">
        <v>50</v>
      </c>
      <c r="G24" s="34"/>
      <c r="H24" s="34" t="s">
        <v>48</v>
      </c>
      <c r="I24" s="34" t="s">
        <v>49</v>
      </c>
      <c r="J24" s="34" t="s">
        <v>50</v>
      </c>
      <c r="K24" s="23"/>
      <c r="L24" s="34" t="s">
        <v>51</v>
      </c>
      <c r="M24" s="34" t="s">
        <v>14</v>
      </c>
      <c r="N24" s="34"/>
      <c r="O24" s="34" t="s">
        <v>48</v>
      </c>
      <c r="P24" s="34" t="s">
        <v>49</v>
      </c>
      <c r="Q24" s="34" t="s">
        <v>50</v>
      </c>
      <c r="R24" s="34"/>
      <c r="S24" s="34" t="s">
        <v>51</v>
      </c>
      <c r="T24" s="34" t="s">
        <v>14</v>
      </c>
      <c r="U24" s="23"/>
      <c r="V24" s="34" t="s">
        <v>48</v>
      </c>
      <c r="W24" s="34" t="s">
        <v>49</v>
      </c>
      <c r="X24" s="34" t="s">
        <v>50</v>
      </c>
      <c r="Y24" s="34"/>
      <c r="Z24" s="34" t="s">
        <v>51</v>
      </c>
      <c r="AA24" s="34" t="s">
        <v>14</v>
      </c>
    </row>
    <row r="25" spans="1:27" x14ac:dyDescent="0.3">
      <c r="A25" s="1">
        <f t="shared" si="0"/>
        <v>25</v>
      </c>
      <c r="B25" s="31"/>
      <c r="C25" s="106">
        <v>100</v>
      </c>
      <c r="D25" s="135">
        <f>ROUND($H$78+($H$81*$C25*$F$74)+($H$82*$C25*$F$75),2)</f>
        <v>32.31</v>
      </c>
      <c r="E25" s="135">
        <f>ROUND($H$83*$C25,2)</f>
        <v>15.68</v>
      </c>
      <c r="F25" s="135">
        <f t="shared" ref="F25:F33" si="19">SUM(D25:E25)</f>
        <v>47.99</v>
      </c>
      <c r="G25" s="136"/>
      <c r="H25" s="135">
        <f>ROUND($I$78+($I$81*$C25*$F$74)+($I$82*$C25*$F$75),2)</f>
        <v>34.159999999999997</v>
      </c>
      <c r="I25" s="135">
        <f>ROUND($I$83*$C25,2)</f>
        <v>15.68</v>
      </c>
      <c r="J25" s="135">
        <f t="shared" ref="J25:J33" si="20">SUM(H25:I25)</f>
        <v>49.839999999999996</v>
      </c>
      <c r="K25" s="136"/>
      <c r="L25" s="135">
        <f>+J25-F25</f>
        <v>1.8499999999999943</v>
      </c>
      <c r="M25" s="137">
        <f t="shared" ref="M25:M33" si="21">+L25/F25</f>
        <v>3.8549697853719402E-2</v>
      </c>
      <c r="N25" s="137"/>
      <c r="O25" s="135">
        <f>ROUND($J$78+($J$81*$C25*$F$74)+($J$82*$C25*$F$75),2)</f>
        <v>34.46</v>
      </c>
      <c r="P25" s="135">
        <f>ROUND($J$83*$C25,2)</f>
        <v>15.68</v>
      </c>
      <c r="Q25" s="135">
        <f t="shared" ref="Q25:Q33" si="22">SUM(O25:P25)</f>
        <v>50.14</v>
      </c>
      <c r="R25" s="136"/>
      <c r="S25" s="135">
        <f>+Q25-J25</f>
        <v>0.30000000000000426</v>
      </c>
      <c r="T25" s="137">
        <f>+S25/J25</f>
        <v>6.0192616372392515E-3</v>
      </c>
      <c r="U25" s="137"/>
      <c r="V25" s="135">
        <f>ROUND($L$78+($L$81*$C25*$F$74)+($L$82*$C25*$F$75),2)</f>
        <v>34.44</v>
      </c>
      <c r="W25" s="135">
        <f>ROUND($L$83*$C25,2)</f>
        <v>15.68</v>
      </c>
      <c r="X25" s="135">
        <f t="shared" ref="X25:X33" si="23">SUM(V25:W25)</f>
        <v>50.12</v>
      </c>
      <c r="Y25" s="136"/>
      <c r="Z25" s="135">
        <f>+X25-Q25</f>
        <v>-2.0000000000003126E-2</v>
      </c>
      <c r="AA25" s="137">
        <f>+Z25/Q25</f>
        <v>-3.9888312724377996E-4</v>
      </c>
    </row>
    <row r="26" spans="1:27" x14ac:dyDescent="0.3">
      <c r="A26" s="1">
        <f t="shared" si="0"/>
        <v>26</v>
      </c>
      <c r="B26" s="31"/>
      <c r="C26" s="106">
        <v>200</v>
      </c>
      <c r="D26" s="135">
        <f t="shared" ref="D26:D33" si="24">ROUND($H$78+($H$81*$C26*$F$74)+($H$82*$C26*$F$75),2)</f>
        <v>44.62</v>
      </c>
      <c r="E26" s="135">
        <f t="shared" ref="E26:E33" si="25">ROUND($H$83*$C26,2)</f>
        <v>31.35</v>
      </c>
      <c r="F26" s="135">
        <f t="shared" si="19"/>
        <v>75.97</v>
      </c>
      <c r="G26" s="136"/>
      <c r="H26" s="135">
        <f t="shared" ref="H26:H33" si="26">ROUND($I$78+($I$81*$C26*$F$74)+($I$82*$C26*$F$75),2)</f>
        <v>48.32</v>
      </c>
      <c r="I26" s="135">
        <f t="shared" ref="I26:I33" si="27">ROUND($I$83*$C26,2)</f>
        <v>31.35</v>
      </c>
      <c r="J26" s="135">
        <f t="shared" si="20"/>
        <v>79.67</v>
      </c>
      <c r="K26" s="136"/>
      <c r="L26" s="135">
        <f t="shared" ref="L26:L33" si="28">+J26-F26</f>
        <v>3.7000000000000028</v>
      </c>
      <c r="M26" s="137">
        <f t="shared" si="21"/>
        <v>4.8703435566671095E-2</v>
      </c>
      <c r="N26" s="137"/>
      <c r="O26" s="135">
        <f t="shared" ref="O26:O33" si="29">ROUND($J$78+($J$81*$C26*$F$74)+($J$82*$C26*$F$75),2)</f>
        <v>48.91</v>
      </c>
      <c r="P26" s="135">
        <f t="shared" ref="P26:P33" si="30">ROUND($J$83*$C26,2)</f>
        <v>31.35</v>
      </c>
      <c r="Q26" s="135">
        <f t="shared" si="22"/>
        <v>80.259999999999991</v>
      </c>
      <c r="R26" s="136"/>
      <c r="S26" s="135">
        <f t="shared" ref="S26:S33" si="31">+Q26-J26</f>
        <v>0.5899999999999892</v>
      </c>
      <c r="T26" s="137">
        <f t="shared" ref="T26:T33" si="32">+S26/J26</f>
        <v>7.4055478850255955E-3</v>
      </c>
      <c r="U26" s="137"/>
      <c r="V26" s="135">
        <f t="shared" ref="V26:V33" si="33">ROUND($L$78+($L$81*$C26*$F$74)+($L$82*$C26*$F$75),2)</f>
        <v>48.87</v>
      </c>
      <c r="W26" s="135">
        <f t="shared" ref="W26:W33" si="34">ROUND($L$83*$C26,2)</f>
        <v>31.35</v>
      </c>
      <c r="X26" s="135">
        <f t="shared" si="23"/>
        <v>80.22</v>
      </c>
      <c r="Y26" s="136"/>
      <c r="Z26" s="135">
        <f t="shared" ref="Z26:Z33" si="35">+X26-Q26</f>
        <v>-3.9999999999992042E-2</v>
      </c>
      <c r="AA26" s="137">
        <f t="shared" ref="AA26:AA33" si="36">+Z26/Q26</f>
        <v>-4.9838026414144091E-4</v>
      </c>
    </row>
    <row r="27" spans="1:27" x14ac:dyDescent="0.3">
      <c r="A27" s="1">
        <f t="shared" si="0"/>
        <v>27</v>
      </c>
      <c r="B27" s="31"/>
      <c r="C27" s="106">
        <v>300</v>
      </c>
      <c r="D27" s="135">
        <f t="shared" si="24"/>
        <v>56.93</v>
      </c>
      <c r="E27" s="135">
        <f t="shared" si="25"/>
        <v>47.03</v>
      </c>
      <c r="F27" s="135">
        <f t="shared" si="19"/>
        <v>103.96000000000001</v>
      </c>
      <c r="G27" s="136"/>
      <c r="H27" s="135">
        <f>ROUND($I$78+($I$81*$C27*$F$74)+($I$82*$C27*$F$75),2)</f>
        <v>62.49</v>
      </c>
      <c r="I27" s="135">
        <f t="shared" si="27"/>
        <v>47.03</v>
      </c>
      <c r="J27" s="135">
        <f t="shared" si="20"/>
        <v>109.52000000000001</v>
      </c>
      <c r="K27" s="136"/>
      <c r="L27" s="135">
        <f t="shared" si="28"/>
        <v>5.5600000000000023</v>
      </c>
      <c r="M27" s="137">
        <f t="shared" si="21"/>
        <v>5.3482108503270509E-2</v>
      </c>
      <c r="N27" s="137"/>
      <c r="O27" s="135">
        <f>ROUND($J$78+($J$81*$C27*$F$74)+($J$82*$C27*$F$75),2)</f>
        <v>63.37</v>
      </c>
      <c r="P27" s="135">
        <f t="shared" si="30"/>
        <v>47.03</v>
      </c>
      <c r="Q27" s="135">
        <f t="shared" si="22"/>
        <v>110.4</v>
      </c>
      <c r="R27" s="136"/>
      <c r="S27" s="135">
        <f t="shared" si="31"/>
        <v>0.87999999999999545</v>
      </c>
      <c r="T27" s="137">
        <f t="shared" si="32"/>
        <v>8.0350620891161007E-3</v>
      </c>
      <c r="U27" s="137"/>
      <c r="V27" s="135">
        <f t="shared" si="33"/>
        <v>63.31</v>
      </c>
      <c r="W27" s="135">
        <f t="shared" si="34"/>
        <v>47.03</v>
      </c>
      <c r="X27" s="135">
        <f t="shared" si="23"/>
        <v>110.34</v>
      </c>
      <c r="Y27" s="136"/>
      <c r="Z27" s="135">
        <f t="shared" si="35"/>
        <v>-6.0000000000002274E-2</v>
      </c>
      <c r="AA27" s="137">
        <f t="shared" si="36"/>
        <v>-5.4347826086958582E-4</v>
      </c>
    </row>
    <row r="28" spans="1:27" x14ac:dyDescent="0.3">
      <c r="A28" s="1">
        <f t="shared" si="0"/>
        <v>28</v>
      </c>
      <c r="B28" s="31"/>
      <c r="C28" s="106">
        <v>400</v>
      </c>
      <c r="D28" s="135">
        <f>ROUND($H$78+($H$81*$C28*$F$74)+($H$82*$C28*$F$75),2)</f>
        <v>69.239999999999995</v>
      </c>
      <c r="E28" s="135">
        <f t="shared" si="25"/>
        <v>62.71</v>
      </c>
      <c r="F28" s="135">
        <f t="shared" si="19"/>
        <v>131.94999999999999</v>
      </c>
      <c r="G28" s="136"/>
      <c r="H28" s="135">
        <f t="shared" si="26"/>
        <v>76.650000000000006</v>
      </c>
      <c r="I28" s="135">
        <f t="shared" si="27"/>
        <v>62.71</v>
      </c>
      <c r="J28" s="135">
        <f t="shared" si="20"/>
        <v>139.36000000000001</v>
      </c>
      <c r="K28" s="136"/>
      <c r="L28" s="135">
        <f t="shared" si="28"/>
        <v>7.410000000000025</v>
      </c>
      <c r="M28" s="137">
        <f t="shared" si="21"/>
        <v>5.6157635467980492E-2</v>
      </c>
      <c r="N28" s="137"/>
      <c r="O28" s="135">
        <f t="shared" si="29"/>
        <v>77.83</v>
      </c>
      <c r="P28" s="135">
        <f t="shared" si="30"/>
        <v>62.71</v>
      </c>
      <c r="Q28" s="135">
        <f t="shared" si="22"/>
        <v>140.54</v>
      </c>
      <c r="R28" s="136"/>
      <c r="S28" s="135">
        <f t="shared" si="31"/>
        <v>1.1799999999999784</v>
      </c>
      <c r="T28" s="137">
        <f t="shared" si="32"/>
        <v>8.4672789896668935E-3</v>
      </c>
      <c r="U28" s="137"/>
      <c r="V28" s="135">
        <f t="shared" si="33"/>
        <v>77.75</v>
      </c>
      <c r="W28" s="135">
        <f t="shared" si="34"/>
        <v>62.71</v>
      </c>
      <c r="X28" s="135">
        <f t="shared" si="23"/>
        <v>140.46</v>
      </c>
      <c r="Y28" s="136"/>
      <c r="Z28" s="135">
        <f t="shared" si="35"/>
        <v>-7.9999999999984084E-2</v>
      </c>
      <c r="AA28" s="137">
        <f t="shared" si="36"/>
        <v>-5.69232958588189E-4</v>
      </c>
    </row>
    <row r="29" spans="1:27" x14ac:dyDescent="0.3">
      <c r="A29" s="1">
        <f t="shared" si="0"/>
        <v>29</v>
      </c>
      <c r="B29" s="31"/>
      <c r="C29" s="106">
        <v>500</v>
      </c>
      <c r="D29" s="135">
        <f t="shared" si="24"/>
        <v>81.55</v>
      </c>
      <c r="E29" s="135">
        <f t="shared" si="25"/>
        <v>78.39</v>
      </c>
      <c r="F29" s="135">
        <f t="shared" ref="F29:F30" si="37">SUM(D29:E29)</f>
        <v>159.94</v>
      </c>
      <c r="G29" s="136"/>
      <c r="H29" s="135">
        <f t="shared" si="26"/>
        <v>90.81</v>
      </c>
      <c r="I29" s="135">
        <f t="shared" si="27"/>
        <v>78.39</v>
      </c>
      <c r="J29" s="135">
        <f t="shared" si="20"/>
        <v>169.2</v>
      </c>
      <c r="K29" s="136"/>
      <c r="L29" s="135">
        <f t="shared" si="28"/>
        <v>9.2599999999999909</v>
      </c>
      <c r="M29" s="137">
        <f t="shared" si="21"/>
        <v>5.7896711266724965E-2</v>
      </c>
      <c r="N29" s="137"/>
      <c r="O29" s="135">
        <f t="shared" si="29"/>
        <v>92.28</v>
      </c>
      <c r="P29" s="135">
        <f t="shared" si="30"/>
        <v>78.39</v>
      </c>
      <c r="Q29" s="135">
        <f t="shared" si="22"/>
        <v>170.67000000000002</v>
      </c>
      <c r="R29" s="136"/>
      <c r="S29" s="135">
        <f t="shared" si="31"/>
        <v>1.4700000000000273</v>
      </c>
      <c r="T29" s="137">
        <f t="shared" si="32"/>
        <v>8.6879432624115092E-3</v>
      </c>
      <c r="U29" s="137"/>
      <c r="V29" s="135">
        <f>ROUND($L$78+($L$81*$C29*$F$74)+($L$82*$C29*$F$75),2)</f>
        <v>92.18</v>
      </c>
      <c r="W29" s="135">
        <f t="shared" si="34"/>
        <v>78.39</v>
      </c>
      <c r="X29" s="135">
        <f t="shared" si="23"/>
        <v>170.57</v>
      </c>
      <c r="Y29" s="136"/>
      <c r="Z29" s="135">
        <f t="shared" si="35"/>
        <v>-0.10000000000002274</v>
      </c>
      <c r="AA29" s="137">
        <f t="shared" si="36"/>
        <v>-5.8592605613184935E-4</v>
      </c>
    </row>
    <row r="30" spans="1:27" x14ac:dyDescent="0.3">
      <c r="A30" s="1">
        <f t="shared" si="0"/>
        <v>30</v>
      </c>
      <c r="B30" s="31"/>
      <c r="C30" s="106">
        <v>600</v>
      </c>
      <c r="D30" s="135">
        <f t="shared" si="24"/>
        <v>93.86</v>
      </c>
      <c r="E30" s="135">
        <f t="shared" si="25"/>
        <v>94.06</v>
      </c>
      <c r="F30" s="135">
        <f t="shared" si="37"/>
        <v>187.92000000000002</v>
      </c>
      <c r="G30" s="136"/>
      <c r="H30" s="135">
        <f t="shared" si="26"/>
        <v>104.97</v>
      </c>
      <c r="I30" s="135">
        <f t="shared" si="27"/>
        <v>94.06</v>
      </c>
      <c r="J30" s="135">
        <f t="shared" si="20"/>
        <v>199.03</v>
      </c>
      <c r="K30" s="136"/>
      <c r="L30" s="135">
        <f t="shared" si="28"/>
        <v>11.109999999999985</v>
      </c>
      <c r="M30" s="137">
        <f t="shared" si="21"/>
        <v>5.9120902511707027E-2</v>
      </c>
      <c r="N30" s="137"/>
      <c r="O30" s="135">
        <f t="shared" si="29"/>
        <v>106.74</v>
      </c>
      <c r="P30" s="135">
        <f t="shared" si="30"/>
        <v>94.06</v>
      </c>
      <c r="Q30" s="135">
        <f t="shared" si="22"/>
        <v>200.8</v>
      </c>
      <c r="R30" s="136"/>
      <c r="S30" s="135">
        <f t="shared" si="31"/>
        <v>1.7700000000000102</v>
      </c>
      <c r="T30" s="137">
        <f t="shared" si="32"/>
        <v>8.8931316886901989E-3</v>
      </c>
      <c r="U30" s="137"/>
      <c r="V30" s="135">
        <f t="shared" si="33"/>
        <v>106.62</v>
      </c>
      <c r="W30" s="135">
        <f t="shared" si="34"/>
        <v>94.06</v>
      </c>
      <c r="X30" s="135">
        <f t="shared" si="23"/>
        <v>200.68</v>
      </c>
      <c r="Y30" s="136"/>
      <c r="Z30" s="135">
        <f t="shared" si="35"/>
        <v>-0.12000000000000455</v>
      </c>
      <c r="AA30" s="137">
        <f t="shared" si="36"/>
        <v>-5.9760956175301068E-4</v>
      </c>
    </row>
    <row r="31" spans="1:27" x14ac:dyDescent="0.3">
      <c r="A31" s="1">
        <f t="shared" si="0"/>
        <v>31</v>
      </c>
      <c r="B31" s="31"/>
      <c r="C31" s="106">
        <v>700</v>
      </c>
      <c r="D31" s="135">
        <f t="shared" si="24"/>
        <v>106.18</v>
      </c>
      <c r="E31" s="135">
        <f t="shared" si="25"/>
        <v>109.74</v>
      </c>
      <c r="F31" s="135">
        <f t="shared" si="19"/>
        <v>215.92000000000002</v>
      </c>
      <c r="G31" s="136"/>
      <c r="H31" s="135">
        <f t="shared" si="26"/>
        <v>119.13</v>
      </c>
      <c r="I31" s="135">
        <f>ROUND($I$83*$C31,2)</f>
        <v>109.74</v>
      </c>
      <c r="J31" s="135">
        <f t="shared" si="20"/>
        <v>228.87</v>
      </c>
      <c r="K31" s="136"/>
      <c r="L31" s="135">
        <f t="shared" si="28"/>
        <v>12.949999999999989</v>
      </c>
      <c r="M31" s="137">
        <f t="shared" si="21"/>
        <v>5.9975917006298569E-2</v>
      </c>
      <c r="N31" s="137"/>
      <c r="O31" s="135">
        <f t="shared" si="29"/>
        <v>121.2</v>
      </c>
      <c r="P31" s="135">
        <f>ROUND($J$83*$C31,2)</f>
        <v>109.74</v>
      </c>
      <c r="Q31" s="135">
        <f t="shared" si="22"/>
        <v>230.94</v>
      </c>
      <c r="R31" s="136"/>
      <c r="S31" s="135">
        <f t="shared" si="31"/>
        <v>2.0699999999999932</v>
      </c>
      <c r="T31" s="137">
        <f t="shared" si="32"/>
        <v>9.0444357058591923E-3</v>
      </c>
      <c r="U31" s="137"/>
      <c r="V31" s="135">
        <f t="shared" si="33"/>
        <v>121.06</v>
      </c>
      <c r="W31" s="135">
        <f t="shared" si="34"/>
        <v>109.74</v>
      </c>
      <c r="X31" s="135">
        <f t="shared" si="23"/>
        <v>230.8</v>
      </c>
      <c r="Y31" s="136"/>
      <c r="Z31" s="135">
        <f t="shared" si="35"/>
        <v>-0.13999999999998636</v>
      </c>
      <c r="AA31" s="137">
        <f t="shared" si="36"/>
        <v>-6.062180652982868E-4</v>
      </c>
    </row>
    <row r="32" spans="1:27" x14ac:dyDescent="0.3">
      <c r="A32" s="1">
        <f t="shared" si="0"/>
        <v>32</v>
      </c>
      <c r="B32" s="31"/>
      <c r="C32" s="106">
        <v>800</v>
      </c>
      <c r="D32" s="135">
        <f t="shared" si="24"/>
        <v>118.49</v>
      </c>
      <c r="E32" s="135">
        <f>ROUND($H$83*$C32,2)</f>
        <v>125.42</v>
      </c>
      <c r="F32" s="135">
        <f t="shared" si="19"/>
        <v>243.91</v>
      </c>
      <c r="G32" s="136"/>
      <c r="H32" s="135">
        <f t="shared" si="26"/>
        <v>133.29</v>
      </c>
      <c r="I32" s="135">
        <f t="shared" si="27"/>
        <v>125.42</v>
      </c>
      <c r="J32" s="135">
        <f t="shared" si="20"/>
        <v>258.70999999999998</v>
      </c>
      <c r="K32" s="136"/>
      <c r="L32" s="135">
        <f t="shared" si="28"/>
        <v>14.799999999999983</v>
      </c>
      <c r="M32" s="137">
        <f t="shared" si="21"/>
        <v>6.0678118978311602E-2</v>
      </c>
      <c r="N32" s="137"/>
      <c r="O32" s="135">
        <f t="shared" si="29"/>
        <v>135.65</v>
      </c>
      <c r="P32" s="135">
        <f t="shared" si="30"/>
        <v>125.42</v>
      </c>
      <c r="Q32" s="135">
        <f t="shared" si="22"/>
        <v>261.07</v>
      </c>
      <c r="R32" s="136"/>
      <c r="S32" s="135">
        <f t="shared" si="31"/>
        <v>2.3600000000000136</v>
      </c>
      <c r="T32" s="137">
        <f t="shared" si="32"/>
        <v>9.1221831394225732E-3</v>
      </c>
      <c r="U32" s="137"/>
      <c r="V32" s="135">
        <f t="shared" si="33"/>
        <v>135.49</v>
      </c>
      <c r="W32" s="135">
        <f>ROUND($L$83*$C32,2)</f>
        <v>125.42</v>
      </c>
      <c r="X32" s="135">
        <f t="shared" si="23"/>
        <v>260.91000000000003</v>
      </c>
      <c r="Y32" s="136"/>
      <c r="Z32" s="135">
        <f t="shared" si="35"/>
        <v>-0.15999999999996817</v>
      </c>
      <c r="AA32" s="137">
        <f t="shared" si="36"/>
        <v>-6.1286245068360278E-4</v>
      </c>
    </row>
    <row r="33" spans="1:27" x14ac:dyDescent="0.3">
      <c r="A33" s="1">
        <f t="shared" si="0"/>
        <v>33</v>
      </c>
      <c r="B33" s="31" t="s">
        <v>52</v>
      </c>
      <c r="C33" s="106">
        <v>475</v>
      </c>
      <c r="D33" s="135">
        <f t="shared" si="24"/>
        <v>78.48</v>
      </c>
      <c r="E33" s="135">
        <f t="shared" si="25"/>
        <v>74.47</v>
      </c>
      <c r="F33" s="135">
        <f t="shared" si="19"/>
        <v>152.94999999999999</v>
      </c>
      <c r="G33" s="136"/>
      <c r="H33" s="135">
        <f t="shared" si="26"/>
        <v>87.27</v>
      </c>
      <c r="I33" s="135">
        <f t="shared" si="27"/>
        <v>74.47</v>
      </c>
      <c r="J33" s="135">
        <f t="shared" si="20"/>
        <v>161.74</v>
      </c>
      <c r="K33" s="136"/>
      <c r="L33" s="135">
        <f t="shared" si="28"/>
        <v>8.7900000000000205</v>
      </c>
      <c r="M33" s="137">
        <f t="shared" si="21"/>
        <v>5.7469761359921684E-2</v>
      </c>
      <c r="N33" s="137"/>
      <c r="O33" s="135">
        <f t="shared" si="29"/>
        <v>88.67</v>
      </c>
      <c r="P33" s="135">
        <f t="shared" si="30"/>
        <v>74.47</v>
      </c>
      <c r="Q33" s="135">
        <f t="shared" si="22"/>
        <v>163.13999999999999</v>
      </c>
      <c r="R33" s="136"/>
      <c r="S33" s="135">
        <f t="shared" si="31"/>
        <v>1.3999999999999773</v>
      </c>
      <c r="T33" s="137">
        <f t="shared" si="32"/>
        <v>8.6558674415727534E-3</v>
      </c>
      <c r="U33" s="137"/>
      <c r="V33" s="135">
        <f t="shared" si="33"/>
        <v>88.57</v>
      </c>
      <c r="W33" s="135">
        <f t="shared" si="34"/>
        <v>74.47</v>
      </c>
      <c r="X33" s="135">
        <f t="shared" si="23"/>
        <v>163.04</v>
      </c>
      <c r="Y33" s="136"/>
      <c r="Z33" s="135">
        <f t="shared" si="35"/>
        <v>-9.9999999999994316E-2</v>
      </c>
      <c r="AA33" s="137">
        <f t="shared" si="36"/>
        <v>-6.1297045482404269E-4</v>
      </c>
    </row>
    <row r="34" spans="1:27" x14ac:dyDescent="0.3">
      <c r="A34" s="1">
        <f t="shared" si="0"/>
        <v>34</v>
      </c>
      <c r="B34" s="31"/>
      <c r="C34" s="181"/>
      <c r="D34" s="135"/>
      <c r="E34" s="135"/>
      <c r="F34" s="139"/>
      <c r="G34" s="140"/>
    </row>
    <row r="35" spans="1:27" x14ac:dyDescent="0.3">
      <c r="A35" s="1">
        <f t="shared" si="0"/>
        <v>35</v>
      </c>
      <c r="B35" s="31"/>
      <c r="C35" s="44"/>
      <c r="D35" s="44"/>
      <c r="E35" s="44"/>
      <c r="F35" s="141"/>
      <c r="G35" s="44"/>
    </row>
    <row r="36" spans="1:27" x14ac:dyDescent="0.3">
      <c r="A36" s="1">
        <f t="shared" si="0"/>
        <v>36</v>
      </c>
      <c r="B36" s="31"/>
      <c r="C36" s="44" t="s">
        <v>53</v>
      </c>
      <c r="D36" s="44"/>
      <c r="E36" s="44"/>
      <c r="G36" s="44"/>
      <c r="H36" s="45">
        <f>'EMA R1'!H28</f>
        <v>2024</v>
      </c>
      <c r="I36" s="45">
        <f>'EMA R1'!I28</f>
        <v>2025</v>
      </c>
      <c r="J36" s="45">
        <f>'EMA R1'!J28</f>
        <v>2026</v>
      </c>
      <c r="K36" s="45"/>
      <c r="L36" s="45">
        <f>'EMA R1'!L28</f>
        <v>2027</v>
      </c>
      <c r="M36" s="45" t="str">
        <f>'EMA R1'!M28</f>
        <v>2025 v 2024</v>
      </c>
      <c r="N36" s="45"/>
      <c r="O36" s="45" t="str">
        <f>'EMA R1'!O28</f>
        <v>2026 v 2025</v>
      </c>
      <c r="P36" s="45" t="str">
        <f>'EMA R1'!P28</f>
        <v>2027 v 2026</v>
      </c>
    </row>
    <row r="37" spans="1:27" x14ac:dyDescent="0.3">
      <c r="A37" s="1">
        <f t="shared" si="0"/>
        <v>37</v>
      </c>
      <c r="B37" s="31"/>
      <c r="C37" s="23" t="s">
        <v>53</v>
      </c>
      <c r="D37" s="44"/>
      <c r="E37" s="44"/>
      <c r="G37" s="44"/>
      <c r="H37" s="47" t="str">
        <f>+'BOS G1ND'!H27</f>
        <v>Rates</v>
      </c>
      <c r="I37" s="47" t="s">
        <v>57</v>
      </c>
      <c r="J37" s="47" t="s">
        <v>57</v>
      </c>
      <c r="L37" s="47" t="s">
        <v>57</v>
      </c>
      <c r="M37" s="48" t="s">
        <v>51</v>
      </c>
      <c r="O37" s="48" t="s">
        <v>51</v>
      </c>
      <c r="P37" s="48" t="s">
        <v>51</v>
      </c>
    </row>
    <row r="38" spans="1:27" x14ac:dyDescent="0.3">
      <c r="A38" s="1">
        <f t="shared" si="0"/>
        <v>38</v>
      </c>
      <c r="B38" s="31"/>
      <c r="C38" s="44" t="s">
        <v>58</v>
      </c>
      <c r="D38" s="23"/>
      <c r="E38" s="44"/>
      <c r="G38" s="182" t="s">
        <v>53</v>
      </c>
      <c r="H38" s="88">
        <v>20</v>
      </c>
      <c r="I38" s="88">
        <f>H38</f>
        <v>20</v>
      </c>
      <c r="J38" s="88">
        <f t="shared" ref="J38" si="38">I38</f>
        <v>20</v>
      </c>
      <c r="L38" s="88">
        <f t="shared" ref="L38:L71" si="39">J38</f>
        <v>20</v>
      </c>
      <c r="M38" s="50">
        <f>+I38-H38</f>
        <v>0</v>
      </c>
      <c r="O38" s="50">
        <f t="shared" ref="O38:O71" si="40">+J38-I38</f>
        <v>0</v>
      </c>
      <c r="P38" s="50">
        <f t="shared" ref="P38:P71" si="41">+L38-J38</f>
        <v>0</v>
      </c>
      <c r="Q38" s="89" t="s">
        <v>59</v>
      </c>
    </row>
    <row r="39" spans="1:27" x14ac:dyDescent="0.3">
      <c r="A39" s="1">
        <f t="shared" si="0"/>
        <v>39</v>
      </c>
      <c r="B39" s="31"/>
      <c r="C39" s="44" t="s">
        <v>181</v>
      </c>
      <c r="D39" s="23"/>
      <c r="E39" s="44"/>
      <c r="G39" s="182"/>
      <c r="H39" s="91">
        <v>8.3900000000000002E-2</v>
      </c>
      <c r="I39" s="91">
        <f t="shared" ref="I39:J54" si="42">H39</f>
        <v>8.3900000000000002E-2</v>
      </c>
      <c r="J39" s="91">
        <f t="shared" si="42"/>
        <v>8.3900000000000002E-2</v>
      </c>
      <c r="L39" s="91">
        <f t="shared" si="39"/>
        <v>8.3900000000000002E-2</v>
      </c>
      <c r="M39" s="54">
        <f t="shared" ref="M39:M71" si="43">+I39-H39</f>
        <v>0</v>
      </c>
      <c r="O39" s="54">
        <f t="shared" si="40"/>
        <v>0</v>
      </c>
      <c r="P39" s="54">
        <f t="shared" si="41"/>
        <v>0</v>
      </c>
      <c r="Q39" s="89" t="s">
        <v>59</v>
      </c>
    </row>
    <row r="40" spans="1:27" x14ac:dyDescent="0.3">
      <c r="A40" s="1">
        <f t="shared" si="0"/>
        <v>40</v>
      </c>
      <c r="B40" s="31"/>
      <c r="C40" s="44" t="s">
        <v>182</v>
      </c>
      <c r="D40" s="23"/>
      <c r="E40" s="44"/>
      <c r="G40" s="182"/>
      <c r="H40" s="91">
        <v>2.154E-2</v>
      </c>
      <c r="I40" s="91">
        <f t="shared" si="42"/>
        <v>2.154E-2</v>
      </c>
      <c r="J40" s="91">
        <f t="shared" si="42"/>
        <v>2.154E-2</v>
      </c>
      <c r="L40" s="91">
        <f t="shared" si="39"/>
        <v>2.154E-2</v>
      </c>
      <c r="M40" s="54">
        <f t="shared" si="43"/>
        <v>0</v>
      </c>
      <c r="O40" s="54">
        <f t="shared" si="40"/>
        <v>0</v>
      </c>
      <c r="P40" s="54">
        <f t="shared" si="41"/>
        <v>0</v>
      </c>
      <c r="Q40" s="89" t="s">
        <v>59</v>
      </c>
    </row>
    <row r="41" spans="1:27" x14ac:dyDescent="0.3">
      <c r="A41" s="1">
        <f t="shared" si="0"/>
        <v>41</v>
      </c>
      <c r="B41" s="31"/>
      <c r="C41" s="44" t="s">
        <v>183</v>
      </c>
      <c r="D41" s="23"/>
      <c r="E41" s="44"/>
      <c r="G41" s="182"/>
      <c r="H41" s="91">
        <v>0.17871999999999999</v>
      </c>
      <c r="I41" s="91">
        <f t="shared" si="42"/>
        <v>0.17871999999999999</v>
      </c>
      <c r="J41" s="91">
        <f t="shared" si="42"/>
        <v>0.17871999999999999</v>
      </c>
      <c r="L41" s="91">
        <f t="shared" si="39"/>
        <v>0.17871999999999999</v>
      </c>
      <c r="M41" s="54">
        <f t="shared" si="43"/>
        <v>0</v>
      </c>
      <c r="O41" s="54">
        <f t="shared" si="40"/>
        <v>0</v>
      </c>
      <c r="P41" s="54">
        <f t="shared" si="41"/>
        <v>0</v>
      </c>
      <c r="Q41" s="89" t="s">
        <v>59</v>
      </c>
    </row>
    <row r="42" spans="1:27" x14ac:dyDescent="0.3">
      <c r="A42" s="1">
        <f t="shared" si="0"/>
        <v>42</v>
      </c>
      <c r="B42" s="31"/>
      <c r="C42" s="44" t="s">
        <v>184</v>
      </c>
      <c r="D42" s="23"/>
      <c r="E42" s="44"/>
      <c r="G42" s="182"/>
      <c r="H42" s="91">
        <v>2.3740000000000001E-2</v>
      </c>
      <c r="I42" s="91">
        <f t="shared" si="42"/>
        <v>2.3740000000000001E-2</v>
      </c>
      <c r="J42" s="91">
        <f t="shared" si="42"/>
        <v>2.3740000000000001E-2</v>
      </c>
      <c r="L42" s="91">
        <f t="shared" si="39"/>
        <v>2.3740000000000001E-2</v>
      </c>
      <c r="M42" s="54">
        <f t="shared" si="43"/>
        <v>0</v>
      </c>
      <c r="O42" s="54">
        <f t="shared" si="40"/>
        <v>0</v>
      </c>
      <c r="P42" s="54">
        <f t="shared" si="41"/>
        <v>0</v>
      </c>
      <c r="Q42" s="89" t="s">
        <v>59</v>
      </c>
    </row>
    <row r="43" spans="1:27" x14ac:dyDescent="0.3">
      <c r="A43" s="1">
        <f t="shared" si="0"/>
        <v>43</v>
      </c>
      <c r="B43" s="31"/>
      <c r="C43" s="44" t="str">
        <f>+'BOS G1ND'!C30</f>
        <v>Exogenous Cost Adjustment</v>
      </c>
      <c r="D43" s="23"/>
      <c r="E43" s="44"/>
      <c r="G43" s="182"/>
      <c r="H43" s="91">
        <v>7.5000000000000002E-4</v>
      </c>
      <c r="I43" s="91">
        <f t="shared" si="42"/>
        <v>7.5000000000000002E-4</v>
      </c>
      <c r="J43" s="91">
        <f t="shared" si="42"/>
        <v>7.5000000000000002E-4</v>
      </c>
      <c r="L43" s="91">
        <f t="shared" si="39"/>
        <v>7.5000000000000002E-4</v>
      </c>
      <c r="M43" s="54">
        <f t="shared" si="43"/>
        <v>0</v>
      </c>
      <c r="O43" s="54">
        <f t="shared" si="40"/>
        <v>0</v>
      </c>
      <c r="P43" s="54">
        <f t="shared" si="41"/>
        <v>0</v>
      </c>
      <c r="Q43" s="89" t="str">
        <f>+'BOS G1ND'!Q30</f>
        <v>ECA</v>
      </c>
    </row>
    <row r="44" spans="1:27" x14ac:dyDescent="0.3">
      <c r="A44" s="1">
        <f t="shared" si="0"/>
        <v>44</v>
      </c>
      <c r="B44" s="31"/>
      <c r="C44" s="44" t="str">
        <f>+'BOS G1ND'!C31</f>
        <v>Revenue Decoupling</v>
      </c>
      <c r="D44" s="23"/>
      <c r="E44" s="44"/>
      <c r="G44" s="182"/>
      <c r="H44" s="53">
        <v>4.0000000000000003E-5</v>
      </c>
      <c r="I44" s="53">
        <f t="shared" si="42"/>
        <v>4.0000000000000003E-5</v>
      </c>
      <c r="J44" s="53">
        <f t="shared" si="42"/>
        <v>4.0000000000000003E-5</v>
      </c>
      <c r="L44" s="53">
        <f t="shared" si="39"/>
        <v>4.0000000000000003E-5</v>
      </c>
      <c r="M44" s="54">
        <f t="shared" si="43"/>
        <v>0</v>
      </c>
      <c r="O44" s="54">
        <f t="shared" si="40"/>
        <v>0</v>
      </c>
      <c r="P44" s="54">
        <f t="shared" si="41"/>
        <v>0</v>
      </c>
      <c r="Q44" s="89" t="str">
        <f>+'BOS G1ND'!Q31</f>
        <v>RDAF</v>
      </c>
    </row>
    <row r="45" spans="1:27" x14ac:dyDescent="0.3">
      <c r="A45" s="1">
        <f t="shared" si="0"/>
        <v>45</v>
      </c>
      <c r="B45" s="31"/>
      <c r="C45" s="44" t="str">
        <f>+'BOS G1ND'!C32</f>
        <v>Distributed Solar Charge</v>
      </c>
      <c r="D45" s="23"/>
      <c r="E45" s="44"/>
      <c r="G45" s="44"/>
      <c r="H45" s="53">
        <v>5.8999999999999999E-3</v>
      </c>
      <c r="I45" s="53">
        <f t="shared" si="42"/>
        <v>5.8999999999999999E-3</v>
      </c>
      <c r="J45" s="53">
        <f t="shared" si="42"/>
        <v>5.8999999999999999E-3</v>
      </c>
      <c r="L45" s="53">
        <f t="shared" si="39"/>
        <v>5.8999999999999999E-3</v>
      </c>
      <c r="M45" s="54">
        <f t="shared" si="43"/>
        <v>0</v>
      </c>
      <c r="O45" s="54">
        <f t="shared" si="40"/>
        <v>0</v>
      </c>
      <c r="P45" s="54">
        <f t="shared" si="41"/>
        <v>0</v>
      </c>
      <c r="Q45" s="89" t="str">
        <f>+'BOS G1ND'!Q32</f>
        <v>SMART</v>
      </c>
    </row>
    <row r="46" spans="1:27" x14ac:dyDescent="0.3">
      <c r="A46" s="1">
        <f t="shared" si="0"/>
        <v>46</v>
      </c>
      <c r="B46" s="31"/>
      <c r="C46" s="44" t="str">
        <f>+'BOS G1ND'!C33</f>
        <v>Residential Assistance Adjustment Factor</v>
      </c>
      <c r="D46" s="23"/>
      <c r="E46" s="44"/>
      <c r="G46" s="44"/>
      <c r="H46" s="53">
        <v>6.0200000000000002E-3</v>
      </c>
      <c r="I46" s="53">
        <f t="shared" si="42"/>
        <v>6.0200000000000002E-3</v>
      </c>
      <c r="J46" s="53">
        <f t="shared" si="42"/>
        <v>6.0200000000000002E-3</v>
      </c>
      <c r="L46" s="53">
        <f t="shared" si="39"/>
        <v>6.0200000000000002E-3</v>
      </c>
      <c r="M46" s="54">
        <f t="shared" si="43"/>
        <v>0</v>
      </c>
      <c r="O46" s="54">
        <f t="shared" si="40"/>
        <v>0</v>
      </c>
      <c r="P46" s="54">
        <f t="shared" si="41"/>
        <v>0</v>
      </c>
      <c r="Q46" s="89" t="str">
        <f>+'BOS G1ND'!Q33</f>
        <v>RAAF</v>
      </c>
    </row>
    <row r="47" spans="1:27" x14ac:dyDescent="0.3">
      <c r="A47" s="1">
        <f t="shared" si="0"/>
        <v>47</v>
      </c>
      <c r="B47" s="31"/>
      <c r="C47" s="44" t="str">
        <f>+'BOS G1ND'!C34</f>
        <v>Pension Adjustment Factor</v>
      </c>
      <c r="D47" s="23"/>
      <c r="E47" s="44"/>
      <c r="G47" s="44"/>
      <c r="H47" s="53">
        <v>5.8E-4</v>
      </c>
      <c r="I47" s="53">
        <f t="shared" si="42"/>
        <v>5.8E-4</v>
      </c>
      <c r="J47" s="53">
        <f t="shared" si="42"/>
        <v>5.8E-4</v>
      </c>
      <c r="L47" s="53">
        <f t="shared" si="39"/>
        <v>5.8E-4</v>
      </c>
      <c r="M47" s="54">
        <f t="shared" si="43"/>
        <v>0</v>
      </c>
      <c r="O47" s="54">
        <f t="shared" si="40"/>
        <v>0</v>
      </c>
      <c r="P47" s="54">
        <f t="shared" si="41"/>
        <v>0</v>
      </c>
      <c r="Q47" s="89" t="str">
        <f>+'BOS G1ND'!Q34</f>
        <v>PAF</v>
      </c>
    </row>
    <row r="48" spans="1:27" x14ac:dyDescent="0.3">
      <c r="A48" s="1">
        <f t="shared" si="0"/>
        <v>48</v>
      </c>
      <c r="B48" s="31"/>
      <c r="C48" s="44" t="str">
        <f>+'BOS G1ND'!C35</f>
        <v>Net Metering Recovery Surcharge</v>
      </c>
      <c r="D48" s="23"/>
      <c r="E48" s="44"/>
      <c r="G48" s="44"/>
      <c r="H48" s="53">
        <v>1.197E-2</v>
      </c>
      <c r="I48" s="53">
        <f t="shared" si="42"/>
        <v>1.197E-2</v>
      </c>
      <c r="J48" s="53">
        <f t="shared" si="42"/>
        <v>1.197E-2</v>
      </c>
      <c r="L48" s="53">
        <f t="shared" si="39"/>
        <v>1.197E-2</v>
      </c>
      <c r="M48" s="54">
        <f t="shared" si="43"/>
        <v>0</v>
      </c>
      <c r="O48" s="54">
        <f t="shared" si="40"/>
        <v>0</v>
      </c>
      <c r="P48" s="54">
        <f t="shared" si="41"/>
        <v>0</v>
      </c>
      <c r="Q48" s="89" t="str">
        <f>+'BOS G1ND'!Q35</f>
        <v>NMRS</v>
      </c>
    </row>
    <row r="49" spans="1:17" x14ac:dyDescent="0.3">
      <c r="A49" s="1">
        <f t="shared" si="0"/>
        <v>49</v>
      </c>
      <c r="B49" s="31"/>
      <c r="C49" s="44" t="str">
        <f>+'BOS G1ND'!C36</f>
        <v>Long Term Renewable Contract Adjustment</v>
      </c>
      <c r="D49" s="23"/>
      <c r="E49" s="44"/>
      <c r="G49" s="44"/>
      <c r="H49" s="53">
        <v>-1.9300000000000001E-3</v>
      </c>
      <c r="I49" s="53">
        <f t="shared" si="42"/>
        <v>-1.9300000000000001E-3</v>
      </c>
      <c r="J49" s="53">
        <f t="shared" si="42"/>
        <v>-1.9300000000000001E-3</v>
      </c>
      <c r="L49" s="53">
        <f t="shared" si="39"/>
        <v>-1.9300000000000001E-3</v>
      </c>
      <c r="M49" s="54">
        <f t="shared" si="43"/>
        <v>0</v>
      </c>
      <c r="O49" s="54">
        <f t="shared" si="40"/>
        <v>0</v>
      </c>
      <c r="P49" s="54">
        <f t="shared" si="41"/>
        <v>0</v>
      </c>
      <c r="Q49" s="89" t="str">
        <f>+'BOS G1ND'!Q36</f>
        <v>LTRCA</v>
      </c>
    </row>
    <row r="50" spans="1:17" x14ac:dyDescent="0.3">
      <c r="A50" s="1">
        <f t="shared" si="0"/>
        <v>50</v>
      </c>
      <c r="B50" s="31"/>
      <c r="C50" s="44" t="str">
        <f>+'BOS G1ND'!C37</f>
        <v>AG Consulting Expense</v>
      </c>
      <c r="D50" s="23"/>
      <c r="E50" s="44"/>
      <c r="G50" s="44"/>
      <c r="H50" s="53">
        <v>4.0000000000000003E-5</v>
      </c>
      <c r="I50" s="53">
        <f t="shared" si="42"/>
        <v>4.0000000000000003E-5</v>
      </c>
      <c r="J50" s="53">
        <f t="shared" si="42"/>
        <v>4.0000000000000003E-5</v>
      </c>
      <c r="L50" s="53">
        <f t="shared" si="39"/>
        <v>4.0000000000000003E-5</v>
      </c>
      <c r="M50" s="54">
        <f t="shared" si="43"/>
        <v>0</v>
      </c>
      <c r="O50" s="54">
        <f t="shared" si="40"/>
        <v>0</v>
      </c>
      <c r="P50" s="54">
        <f t="shared" si="41"/>
        <v>0</v>
      </c>
      <c r="Q50" s="89" t="str">
        <f>+'BOS G1ND'!Q37</f>
        <v>AGCE</v>
      </c>
    </row>
    <row r="51" spans="1:17" x14ac:dyDescent="0.3">
      <c r="A51" s="1">
        <f t="shared" si="0"/>
        <v>51</v>
      </c>
      <c r="B51" s="31"/>
      <c r="C51" s="44" t="str">
        <f>+'BOS G1ND'!C38</f>
        <v>Storm Cost Recovery Adjustment Factor</v>
      </c>
      <c r="D51" s="44"/>
      <c r="E51" s="44"/>
      <c r="G51" s="44"/>
      <c r="H51" s="53">
        <v>4.8900000000000002E-3</v>
      </c>
      <c r="I51" s="53">
        <f t="shared" si="42"/>
        <v>4.8900000000000002E-3</v>
      </c>
      <c r="J51" s="53">
        <f t="shared" si="42"/>
        <v>4.8900000000000002E-3</v>
      </c>
      <c r="L51" s="53">
        <f t="shared" si="39"/>
        <v>4.8900000000000002E-3</v>
      </c>
      <c r="M51" s="54">
        <f t="shared" si="43"/>
        <v>0</v>
      </c>
      <c r="O51" s="54">
        <f t="shared" si="40"/>
        <v>0</v>
      </c>
      <c r="P51" s="54">
        <f t="shared" si="41"/>
        <v>0</v>
      </c>
      <c r="Q51" s="89" t="str">
        <f>+'BOS G1ND'!Q38</f>
        <v>SCRA</v>
      </c>
    </row>
    <row r="52" spans="1:17" x14ac:dyDescent="0.3">
      <c r="A52" s="1">
        <f t="shared" si="0"/>
        <v>52</v>
      </c>
      <c r="B52" s="31"/>
      <c r="C52" s="44" t="str">
        <f>+'BOS G1ND'!C39</f>
        <v>Storm Reserve Adjustment</v>
      </c>
      <c r="D52" s="23"/>
      <c r="E52" s="44"/>
      <c r="F52" s="44"/>
      <c r="G52" s="44"/>
      <c r="H52" s="53">
        <v>0</v>
      </c>
      <c r="I52" s="53">
        <f t="shared" si="42"/>
        <v>0</v>
      </c>
      <c r="J52" s="53">
        <f t="shared" si="42"/>
        <v>0</v>
      </c>
      <c r="L52" s="53">
        <f t="shared" si="39"/>
        <v>0</v>
      </c>
      <c r="M52" s="54">
        <f t="shared" si="43"/>
        <v>0</v>
      </c>
      <c r="O52" s="54">
        <f t="shared" si="40"/>
        <v>0</v>
      </c>
      <c r="P52" s="54">
        <f t="shared" si="41"/>
        <v>0</v>
      </c>
      <c r="Q52" s="89" t="str">
        <f>+'BOS G1ND'!Q39</f>
        <v>SRA</v>
      </c>
    </row>
    <row r="53" spans="1:17" x14ac:dyDescent="0.3">
      <c r="A53" s="1">
        <f t="shared" si="0"/>
        <v>53</v>
      </c>
      <c r="B53" s="31"/>
      <c r="C53" s="44" t="str">
        <f>+'BOS G1ND'!C40</f>
        <v>Basic Service Cost True Up Factor</v>
      </c>
      <c r="D53" s="23"/>
      <c r="E53" s="44"/>
      <c r="F53" s="44"/>
      <c r="G53" s="44"/>
      <c r="H53" s="53">
        <v>-3.4000000000000002E-4</v>
      </c>
      <c r="I53" s="53">
        <f t="shared" si="42"/>
        <v>-3.4000000000000002E-4</v>
      </c>
      <c r="J53" s="53">
        <f t="shared" si="42"/>
        <v>-3.4000000000000002E-4</v>
      </c>
      <c r="L53" s="53">
        <f t="shared" si="39"/>
        <v>-3.4000000000000002E-4</v>
      </c>
      <c r="M53" s="54">
        <f t="shared" si="43"/>
        <v>0</v>
      </c>
      <c r="O53" s="54">
        <f t="shared" si="40"/>
        <v>0</v>
      </c>
      <c r="P53" s="54">
        <f t="shared" si="41"/>
        <v>0</v>
      </c>
      <c r="Q53" s="89" t="str">
        <f>+'BOS G1ND'!Q40</f>
        <v>BSTF</v>
      </c>
    </row>
    <row r="54" spans="1:17" x14ac:dyDescent="0.3">
      <c r="A54" s="1">
        <f t="shared" si="0"/>
        <v>54</v>
      </c>
      <c r="B54" s="31"/>
      <c r="C54" s="44" t="str">
        <f>+'BOS G1ND'!C41</f>
        <v>Solar Program Cost Adjustment Factor</v>
      </c>
      <c r="D54" s="23"/>
      <c r="E54" s="44"/>
      <c r="F54" s="44"/>
      <c r="G54" s="44"/>
      <c r="H54" s="53">
        <v>1.0000000000000001E-5</v>
      </c>
      <c r="I54" s="53">
        <f t="shared" si="42"/>
        <v>1.0000000000000001E-5</v>
      </c>
      <c r="J54" s="53">
        <f t="shared" si="42"/>
        <v>1.0000000000000001E-5</v>
      </c>
      <c r="L54" s="53">
        <f t="shared" si="39"/>
        <v>1.0000000000000001E-5</v>
      </c>
      <c r="M54" s="54">
        <f t="shared" si="43"/>
        <v>0</v>
      </c>
      <c r="O54" s="54">
        <f t="shared" si="40"/>
        <v>0</v>
      </c>
      <c r="P54" s="54">
        <f t="shared" si="41"/>
        <v>0</v>
      </c>
      <c r="Q54" s="89" t="str">
        <f>+'BOS G1ND'!Q41</f>
        <v>SPCA</v>
      </c>
    </row>
    <row r="55" spans="1:17" x14ac:dyDescent="0.3">
      <c r="A55" s="1">
        <f t="shared" si="0"/>
        <v>55</v>
      </c>
      <c r="B55" s="31"/>
      <c r="C55" s="44" t="str">
        <f>+'BOS G1ND'!C42</f>
        <v>Solar Expansion Cost Recovery Factor</v>
      </c>
      <c r="D55" s="37"/>
      <c r="E55" s="37"/>
      <c r="F55" s="53"/>
      <c r="G55" s="53"/>
      <c r="H55" s="53">
        <v>-3.6999999999999999E-4</v>
      </c>
      <c r="I55" s="53">
        <f t="shared" ref="I55:J67" si="44">H55</f>
        <v>-3.6999999999999999E-4</v>
      </c>
      <c r="J55" s="53">
        <f t="shared" si="44"/>
        <v>-3.6999999999999999E-4</v>
      </c>
      <c r="L55" s="53">
        <f t="shared" si="39"/>
        <v>-3.6999999999999999E-4</v>
      </c>
      <c r="M55" s="54">
        <f t="shared" si="43"/>
        <v>0</v>
      </c>
      <c r="O55" s="54">
        <f t="shared" si="40"/>
        <v>0</v>
      </c>
      <c r="P55" s="54">
        <f t="shared" si="41"/>
        <v>0</v>
      </c>
      <c r="Q55" s="89" t="str">
        <f>+'BOS G1ND'!Q42</f>
        <v>SECRF</v>
      </c>
    </row>
    <row r="56" spans="1:17" x14ac:dyDescent="0.3">
      <c r="A56" s="1">
        <f t="shared" si="0"/>
        <v>56</v>
      </c>
      <c r="B56" s="31"/>
      <c r="C56" s="44" t="str">
        <f>+'BOS G1ND'!C43</f>
        <v>Vegetation Management</v>
      </c>
      <c r="D56" s="37"/>
      <c r="E56" s="37"/>
      <c r="F56" s="53"/>
      <c r="G56" s="53"/>
      <c r="H56" s="53">
        <v>1.2999999999999999E-3</v>
      </c>
      <c r="I56" s="53">
        <f t="shared" si="44"/>
        <v>1.2999999999999999E-3</v>
      </c>
      <c r="J56" s="53">
        <f t="shared" si="44"/>
        <v>1.2999999999999999E-3</v>
      </c>
      <c r="L56" s="53">
        <f t="shared" si="39"/>
        <v>1.2999999999999999E-3</v>
      </c>
      <c r="M56" s="54">
        <f t="shared" si="43"/>
        <v>0</v>
      </c>
      <c r="O56" s="54">
        <f t="shared" si="40"/>
        <v>0</v>
      </c>
      <c r="P56" s="54">
        <f t="shared" si="41"/>
        <v>0</v>
      </c>
      <c r="Q56" s="89" t="str">
        <f>+'BOS G1ND'!Q43</f>
        <v>RTWF</v>
      </c>
    </row>
    <row r="57" spans="1:17" x14ac:dyDescent="0.3">
      <c r="A57" s="1">
        <f t="shared" si="0"/>
        <v>57</v>
      </c>
      <c r="B57" s="31"/>
      <c r="C57" s="44" t="str">
        <f>+'BOS G1ND'!C44</f>
        <v>Tax Act Credit Factor</v>
      </c>
      <c r="D57" s="23"/>
      <c r="E57" s="44"/>
      <c r="F57" s="44"/>
      <c r="G57" s="44"/>
      <c r="H57" s="53">
        <v>-1.33E-3</v>
      </c>
      <c r="I57" s="53">
        <f t="shared" si="44"/>
        <v>-1.33E-3</v>
      </c>
      <c r="J57" s="53">
        <f t="shared" si="44"/>
        <v>-1.33E-3</v>
      </c>
      <c r="L57" s="53">
        <f t="shared" si="39"/>
        <v>-1.33E-3</v>
      </c>
      <c r="M57" s="54">
        <f t="shared" si="43"/>
        <v>0</v>
      </c>
      <c r="O57" s="54">
        <f t="shared" si="40"/>
        <v>0</v>
      </c>
      <c r="P57" s="54">
        <f t="shared" si="41"/>
        <v>0</v>
      </c>
      <c r="Q57" s="89" t="str">
        <f>+'BOS G1ND'!Q44</f>
        <v>TACF</v>
      </c>
    </row>
    <row r="58" spans="1:17" x14ac:dyDescent="0.3">
      <c r="A58" s="1">
        <f t="shared" si="0"/>
        <v>58</v>
      </c>
      <c r="B58" s="31"/>
      <c r="C58" s="44" t="str">
        <f>+'BOS G1ND'!C45</f>
        <v>Grid Modernization</v>
      </c>
      <c r="D58" s="23"/>
      <c r="E58" s="44"/>
      <c r="F58" s="44"/>
      <c r="G58" s="44"/>
      <c r="H58" s="53">
        <v>1.65E-3</v>
      </c>
      <c r="I58" s="53">
        <f t="shared" si="44"/>
        <v>1.65E-3</v>
      </c>
      <c r="J58" s="53">
        <f t="shared" si="44"/>
        <v>1.65E-3</v>
      </c>
      <c r="L58" s="53">
        <f t="shared" si="39"/>
        <v>1.65E-3</v>
      </c>
      <c r="M58" s="54">
        <f t="shared" si="43"/>
        <v>0</v>
      </c>
      <c r="O58" s="54">
        <f t="shared" si="40"/>
        <v>0</v>
      </c>
      <c r="P58" s="54">
        <f t="shared" si="41"/>
        <v>0</v>
      </c>
      <c r="Q58" s="89" t="str">
        <f>+'BOS G1ND'!Q45</f>
        <v>GMOD</v>
      </c>
    </row>
    <row r="59" spans="1:17" x14ac:dyDescent="0.3">
      <c r="A59" s="1">
        <f t="shared" si="0"/>
        <v>59</v>
      </c>
      <c r="B59" s="31"/>
      <c r="C59" s="44" t="str">
        <f>+'BOS G1ND'!C46</f>
        <v>Advanced Metering Infrastructure</v>
      </c>
      <c r="D59" s="23"/>
      <c r="E59" s="44"/>
      <c r="F59" s="44"/>
      <c r="G59" s="44"/>
      <c r="H59" s="53">
        <v>2.1900000000000001E-3</v>
      </c>
      <c r="I59" s="53">
        <f t="shared" si="44"/>
        <v>2.1900000000000001E-3</v>
      </c>
      <c r="J59" s="53">
        <f t="shared" si="44"/>
        <v>2.1900000000000001E-3</v>
      </c>
      <c r="L59" s="53">
        <f t="shared" si="39"/>
        <v>2.1900000000000001E-3</v>
      </c>
      <c r="M59" s="54">
        <f t="shared" si="43"/>
        <v>0</v>
      </c>
      <c r="O59" s="54">
        <f t="shared" si="40"/>
        <v>0</v>
      </c>
      <c r="P59" s="54">
        <f t="shared" si="41"/>
        <v>0</v>
      </c>
      <c r="Q59" s="89" t="str">
        <f>+'BOS G1ND'!Q46</f>
        <v>AMIF</v>
      </c>
    </row>
    <row r="60" spans="1:17" x14ac:dyDescent="0.3">
      <c r="A60" s="1">
        <f t="shared" si="0"/>
        <v>60</v>
      </c>
      <c r="B60" s="31"/>
      <c r="C60" s="44" t="str">
        <f>+'BOS G1ND'!C47</f>
        <v>Electronic Payment Recovery</v>
      </c>
      <c r="D60" s="23"/>
      <c r="E60" s="44"/>
      <c r="F60" s="44"/>
      <c r="G60" s="44"/>
      <c r="H60" s="53">
        <v>0</v>
      </c>
      <c r="I60" s="53">
        <f t="shared" si="44"/>
        <v>0</v>
      </c>
      <c r="J60" s="53">
        <f t="shared" si="44"/>
        <v>0</v>
      </c>
      <c r="L60" s="53">
        <f t="shared" si="39"/>
        <v>0</v>
      </c>
      <c r="M60" s="54">
        <f t="shared" si="43"/>
        <v>0</v>
      </c>
      <c r="O60" s="54">
        <f t="shared" si="40"/>
        <v>0</v>
      </c>
      <c r="P60" s="54">
        <f t="shared" si="41"/>
        <v>0</v>
      </c>
      <c r="Q60" s="89" t="str">
        <f>+'BOS G1ND'!Q47</f>
        <v>EPR</v>
      </c>
    </row>
    <row r="61" spans="1:17" x14ac:dyDescent="0.3">
      <c r="A61" s="1">
        <f t="shared" si="0"/>
        <v>61</v>
      </c>
      <c r="B61" s="31"/>
      <c r="C61" s="44" t="str">
        <f>+'BOS G1ND'!C48</f>
        <v>Provisional System Planning Factor</v>
      </c>
      <c r="D61" s="23"/>
      <c r="E61" s="44"/>
      <c r="F61" s="44"/>
      <c r="G61" s="44"/>
      <c r="H61" s="53">
        <v>0</v>
      </c>
      <c r="I61" s="53">
        <f t="shared" si="44"/>
        <v>0</v>
      </c>
      <c r="J61" s="53">
        <f t="shared" si="44"/>
        <v>0</v>
      </c>
      <c r="L61" s="53">
        <f t="shared" si="39"/>
        <v>0</v>
      </c>
      <c r="M61" s="54">
        <f t="shared" si="43"/>
        <v>0</v>
      </c>
      <c r="O61" s="54">
        <f t="shared" si="40"/>
        <v>0</v>
      </c>
      <c r="P61" s="54">
        <f t="shared" si="41"/>
        <v>0</v>
      </c>
      <c r="Q61" s="89" t="str">
        <f>+'BOS G1ND'!Q48</f>
        <v>PSPF</v>
      </c>
    </row>
    <row r="62" spans="1:17" x14ac:dyDescent="0.3">
      <c r="A62" s="1">
        <f t="shared" si="0"/>
        <v>62</v>
      </c>
      <c r="B62" s="31"/>
      <c r="C62" s="44" t="str">
        <f>+'BOS G1ND'!C49</f>
        <v>Electric Vehicle Factor</v>
      </c>
      <c r="D62" s="23"/>
      <c r="E62" s="44"/>
      <c r="F62" s="44"/>
      <c r="G62" s="44"/>
      <c r="H62" s="53">
        <v>1.0300000000000001E-3</v>
      </c>
      <c r="I62" s="53">
        <f t="shared" si="44"/>
        <v>1.0300000000000001E-3</v>
      </c>
      <c r="J62" s="53">
        <f t="shared" si="44"/>
        <v>1.0300000000000001E-3</v>
      </c>
      <c r="L62" s="53">
        <f t="shared" si="39"/>
        <v>1.0300000000000001E-3</v>
      </c>
      <c r="M62" s="54">
        <f t="shared" si="43"/>
        <v>0</v>
      </c>
      <c r="O62" s="54">
        <f t="shared" si="40"/>
        <v>0</v>
      </c>
      <c r="P62" s="54">
        <f t="shared" si="41"/>
        <v>0</v>
      </c>
      <c r="Q62" s="89" t="str">
        <f>+'BOS G1ND'!Q49</f>
        <v>EVF</v>
      </c>
    </row>
    <row r="63" spans="1:17" x14ac:dyDescent="0.3">
      <c r="A63" s="1">
        <f t="shared" si="0"/>
        <v>63</v>
      </c>
      <c r="B63" s="31"/>
      <c r="C63" s="44" t="str">
        <f>+'BOS G1ND'!C50</f>
        <v>Transition</v>
      </c>
      <c r="D63" s="23"/>
      <c r="E63" s="44"/>
      <c r="F63" s="44"/>
      <c r="G63" s="44"/>
      <c r="H63" s="53">
        <v>-3.6999999999999999E-4</v>
      </c>
      <c r="I63" s="53">
        <f t="shared" si="44"/>
        <v>-3.6999999999999999E-4</v>
      </c>
      <c r="J63" s="53">
        <f t="shared" si="44"/>
        <v>-3.6999999999999999E-4</v>
      </c>
      <c r="L63" s="53">
        <f t="shared" si="39"/>
        <v>-3.6999999999999999E-4</v>
      </c>
      <c r="M63" s="54">
        <f t="shared" si="43"/>
        <v>0</v>
      </c>
      <c r="O63" s="54">
        <f t="shared" si="40"/>
        <v>0</v>
      </c>
      <c r="P63" s="54">
        <f t="shared" si="41"/>
        <v>0</v>
      </c>
      <c r="Q63" s="89" t="str">
        <f>+'BOS G1ND'!Q50</f>
        <v>TRNSN</v>
      </c>
    </row>
    <row r="64" spans="1:17" x14ac:dyDescent="0.3">
      <c r="A64" s="1">
        <f t="shared" si="0"/>
        <v>64</v>
      </c>
      <c r="B64" s="31"/>
      <c r="C64" s="44" t="s">
        <v>185</v>
      </c>
      <c r="D64" s="23"/>
      <c r="E64" s="44"/>
      <c r="F64" s="44"/>
      <c r="G64" s="44"/>
      <c r="H64" s="53">
        <v>0.10001</v>
      </c>
      <c r="I64" s="53">
        <f t="shared" si="44"/>
        <v>0.10001</v>
      </c>
      <c r="J64" s="53">
        <f t="shared" si="44"/>
        <v>0.10001</v>
      </c>
      <c r="L64" s="53">
        <f t="shared" si="39"/>
        <v>0.10001</v>
      </c>
      <c r="M64" s="54">
        <f t="shared" si="43"/>
        <v>0</v>
      </c>
      <c r="O64" s="54">
        <f t="shared" si="40"/>
        <v>0</v>
      </c>
      <c r="P64" s="54">
        <f t="shared" si="41"/>
        <v>0</v>
      </c>
      <c r="Q64" s="51" t="s">
        <v>104</v>
      </c>
    </row>
    <row r="65" spans="1:17" x14ac:dyDescent="0.3">
      <c r="A65" s="1">
        <f t="shared" si="0"/>
        <v>65</v>
      </c>
      <c r="B65" s="31"/>
      <c r="C65" s="44" t="s">
        <v>186</v>
      </c>
      <c r="D65" s="23"/>
      <c r="E65" s="44"/>
      <c r="F65" s="44"/>
      <c r="G65" s="44"/>
      <c r="H65" s="53">
        <v>0</v>
      </c>
      <c r="I65" s="53">
        <f t="shared" si="44"/>
        <v>0</v>
      </c>
      <c r="J65" s="53">
        <f t="shared" si="44"/>
        <v>0</v>
      </c>
      <c r="L65" s="53">
        <f t="shared" si="39"/>
        <v>0</v>
      </c>
      <c r="M65" s="54">
        <f t="shared" si="43"/>
        <v>0</v>
      </c>
      <c r="O65" s="54">
        <f t="shared" si="40"/>
        <v>0</v>
      </c>
      <c r="P65" s="54">
        <f t="shared" si="41"/>
        <v>0</v>
      </c>
      <c r="Q65" s="51" t="s">
        <v>104</v>
      </c>
    </row>
    <row r="66" spans="1:17" x14ac:dyDescent="0.3">
      <c r="A66" s="1">
        <f t="shared" si="0"/>
        <v>66</v>
      </c>
      <c r="B66" s="31"/>
      <c r="C66" s="44" t="s">
        <v>187</v>
      </c>
      <c r="D66" s="23"/>
      <c r="F66" s="44"/>
      <c r="G66" s="44"/>
      <c r="H66" s="53">
        <v>9.4909999999999994E-2</v>
      </c>
      <c r="I66" s="53">
        <f t="shared" si="44"/>
        <v>9.4909999999999994E-2</v>
      </c>
      <c r="J66" s="53">
        <f t="shared" si="44"/>
        <v>9.4909999999999994E-2</v>
      </c>
      <c r="L66" s="53">
        <f t="shared" si="39"/>
        <v>9.4909999999999994E-2</v>
      </c>
      <c r="M66" s="54">
        <f t="shared" si="43"/>
        <v>0</v>
      </c>
      <c r="O66" s="54">
        <f t="shared" si="40"/>
        <v>0</v>
      </c>
      <c r="P66" s="54">
        <f t="shared" si="41"/>
        <v>0</v>
      </c>
      <c r="Q66" s="51" t="s">
        <v>104</v>
      </c>
    </row>
    <row r="67" spans="1:17" x14ac:dyDescent="0.3">
      <c r="A67" s="1">
        <f t="shared" ref="A67:A75" si="45">A66+1</f>
        <v>67</v>
      </c>
      <c r="B67" s="31"/>
      <c r="C67" s="44" t="s">
        <v>188</v>
      </c>
      <c r="D67" s="23"/>
      <c r="F67" s="44"/>
      <c r="G67" s="44"/>
      <c r="H67" s="53">
        <v>0</v>
      </c>
      <c r="I67" s="53">
        <f t="shared" si="44"/>
        <v>0</v>
      </c>
      <c r="J67" s="53">
        <f t="shared" si="44"/>
        <v>0</v>
      </c>
      <c r="L67" s="53">
        <f t="shared" si="39"/>
        <v>0</v>
      </c>
      <c r="M67" s="54">
        <f t="shared" si="43"/>
        <v>0</v>
      </c>
      <c r="O67" s="54">
        <f t="shared" si="40"/>
        <v>0</v>
      </c>
      <c r="P67" s="54">
        <f t="shared" si="41"/>
        <v>0</v>
      </c>
      <c r="Q67" s="51" t="s">
        <v>104</v>
      </c>
    </row>
    <row r="68" spans="1:17" x14ac:dyDescent="0.3">
      <c r="A68" s="1">
        <f t="shared" si="45"/>
        <v>68</v>
      </c>
      <c r="B68" s="31"/>
      <c r="C68" s="44" t="s">
        <v>105</v>
      </c>
      <c r="D68" s="23"/>
      <c r="F68" s="44"/>
      <c r="G68" s="44"/>
      <c r="H68" s="53">
        <v>-8.1300000000000001E-3</v>
      </c>
      <c r="I68" s="53">
        <v>1.038E-2</v>
      </c>
      <c r="J68" s="53">
        <v>1.333E-2</v>
      </c>
      <c r="L68" s="53">
        <v>1.3129999999999999E-2</v>
      </c>
      <c r="M68" s="54">
        <f t="shared" si="43"/>
        <v>1.8509999999999999E-2</v>
      </c>
      <c r="O68" s="54">
        <f t="shared" si="40"/>
        <v>2.9499999999999995E-3</v>
      </c>
      <c r="P68" s="54">
        <f t="shared" si="41"/>
        <v>-2.0000000000000052E-4</v>
      </c>
      <c r="Q68" s="89" t="s">
        <v>106</v>
      </c>
    </row>
    <row r="69" spans="1:17" x14ac:dyDescent="0.3">
      <c r="A69" s="1">
        <f t="shared" si="45"/>
        <v>69</v>
      </c>
      <c r="B69" s="31"/>
      <c r="C69" s="44" t="s">
        <v>107</v>
      </c>
      <c r="D69" s="23"/>
      <c r="F69" s="44"/>
      <c r="G69" s="44"/>
      <c r="H69" s="53">
        <v>2.5000000000000001E-3</v>
      </c>
      <c r="I69" s="53">
        <f t="shared" ref="I69:J71" si="46">H69</f>
        <v>2.5000000000000001E-3</v>
      </c>
      <c r="J69" s="53">
        <f t="shared" si="46"/>
        <v>2.5000000000000001E-3</v>
      </c>
      <c r="L69" s="53">
        <f t="shared" si="39"/>
        <v>2.5000000000000001E-3</v>
      </c>
      <c r="M69" s="54">
        <f t="shared" si="43"/>
        <v>0</v>
      </c>
      <c r="O69" s="54">
        <f t="shared" si="40"/>
        <v>0</v>
      </c>
      <c r="P69" s="54">
        <f t="shared" si="41"/>
        <v>0</v>
      </c>
      <c r="Q69" s="89" t="s">
        <v>108</v>
      </c>
    </row>
    <row r="70" spans="1:17" x14ac:dyDescent="0.3">
      <c r="A70" s="1">
        <f t="shared" si="45"/>
        <v>70</v>
      </c>
      <c r="B70" s="31"/>
      <c r="C70" s="44" t="s">
        <v>109</v>
      </c>
      <c r="F70" s="44"/>
      <c r="H70" s="53">
        <v>5.0000000000000001E-4</v>
      </c>
      <c r="I70" s="53">
        <f t="shared" si="46"/>
        <v>5.0000000000000001E-4</v>
      </c>
      <c r="J70" s="53">
        <f t="shared" si="46"/>
        <v>5.0000000000000001E-4</v>
      </c>
      <c r="L70" s="53">
        <f t="shared" si="39"/>
        <v>5.0000000000000001E-4</v>
      </c>
      <c r="M70" s="54">
        <f t="shared" si="43"/>
        <v>0</v>
      </c>
      <c r="O70" s="54">
        <f t="shared" si="40"/>
        <v>0</v>
      </c>
      <c r="P70" s="54">
        <f t="shared" si="41"/>
        <v>0</v>
      </c>
      <c r="Q70" s="89" t="s">
        <v>110</v>
      </c>
    </row>
    <row r="71" spans="1:17" x14ac:dyDescent="0.3">
      <c r="A71" s="1">
        <f t="shared" si="45"/>
        <v>71</v>
      </c>
      <c r="B71" s="31"/>
      <c r="C71" s="44" t="s">
        <v>111</v>
      </c>
      <c r="H71" s="53">
        <v>0.15676999999999999</v>
      </c>
      <c r="I71" s="53">
        <f t="shared" si="46"/>
        <v>0.15676999999999999</v>
      </c>
      <c r="J71" s="53">
        <f t="shared" si="46"/>
        <v>0.15676999999999999</v>
      </c>
      <c r="L71" s="53">
        <f t="shared" si="39"/>
        <v>0.15676999999999999</v>
      </c>
      <c r="M71" s="54">
        <f t="shared" si="43"/>
        <v>0</v>
      </c>
      <c r="O71" s="54">
        <f t="shared" si="40"/>
        <v>0</v>
      </c>
      <c r="P71" s="54">
        <f t="shared" si="41"/>
        <v>0</v>
      </c>
      <c r="Q71" s="89" t="s">
        <v>112</v>
      </c>
    </row>
    <row r="72" spans="1:17" x14ac:dyDescent="0.3">
      <c r="A72" s="1">
        <f t="shared" si="45"/>
        <v>72</v>
      </c>
      <c r="B72" s="31"/>
      <c r="C72" s="44"/>
      <c r="H72" s="183"/>
      <c r="I72" s="183"/>
      <c r="J72" s="183"/>
    </row>
    <row r="73" spans="1:17" x14ac:dyDescent="0.3">
      <c r="A73" s="1">
        <f t="shared" si="45"/>
        <v>73</v>
      </c>
      <c r="B73" s="31"/>
      <c r="C73" s="44" t="s">
        <v>53</v>
      </c>
      <c r="E73" s="184" t="s">
        <v>189</v>
      </c>
      <c r="F73" s="184" t="s">
        <v>190</v>
      </c>
      <c r="H73" s="183"/>
      <c r="I73" s="183"/>
      <c r="J73" s="183"/>
    </row>
    <row r="74" spans="1:17" x14ac:dyDescent="0.3">
      <c r="A74" s="1">
        <f t="shared" si="45"/>
        <v>74</v>
      </c>
      <c r="B74" s="31"/>
      <c r="C74" s="172" t="s">
        <v>160</v>
      </c>
      <c r="E74" s="178">
        <v>0.38</v>
      </c>
      <c r="F74" s="185">
        <v>0.28999999999999998</v>
      </c>
      <c r="H74" s="183"/>
      <c r="I74" s="183"/>
      <c r="J74" s="183"/>
    </row>
    <row r="75" spans="1:17" x14ac:dyDescent="0.3">
      <c r="A75" s="1">
        <f t="shared" si="45"/>
        <v>75</v>
      </c>
      <c r="B75" s="31"/>
      <c r="C75" s="172" t="s">
        <v>161</v>
      </c>
      <c r="E75" s="178">
        <v>0.62</v>
      </c>
      <c r="F75" s="185">
        <v>0.71</v>
      </c>
      <c r="H75" s="183"/>
      <c r="I75" s="183"/>
      <c r="J75" s="183"/>
    </row>
    <row r="76" spans="1:17" x14ac:dyDescent="0.3">
      <c r="A76" s="1"/>
      <c r="B76" s="31"/>
      <c r="C76" s="44"/>
      <c r="H76" s="183"/>
      <c r="I76" s="183"/>
      <c r="J76" s="183"/>
    </row>
    <row r="77" spans="1:17" x14ac:dyDescent="0.3">
      <c r="A77" s="1"/>
      <c r="B77" s="31"/>
      <c r="C77" s="44"/>
      <c r="H77" s="183"/>
      <c r="I77" s="183"/>
      <c r="J77" s="183"/>
    </row>
    <row r="78" spans="1:17" x14ac:dyDescent="0.3">
      <c r="A78" s="1"/>
      <c r="B78" s="31"/>
      <c r="C78" s="44" t="s">
        <v>58</v>
      </c>
      <c r="H78" s="88">
        <f>+H38</f>
        <v>20</v>
      </c>
      <c r="I78" s="88">
        <f>+I38</f>
        <v>20</v>
      </c>
      <c r="J78" s="88">
        <f t="shared" ref="J78:L78" si="47">+J38</f>
        <v>20</v>
      </c>
      <c r="K78" s="88"/>
      <c r="L78" s="88">
        <f t="shared" si="47"/>
        <v>20</v>
      </c>
    </row>
    <row r="79" spans="1:17" x14ac:dyDescent="0.3">
      <c r="A79" s="1"/>
      <c r="B79" s="31"/>
      <c r="C79" s="44" t="s">
        <v>191</v>
      </c>
      <c r="H79" s="91">
        <f>SUM(H39,H43:H64,H68:H70)</f>
        <v>0.21081000000000003</v>
      </c>
      <c r="I79" s="91">
        <f>SUM(I39,I43:I64,I68:I70)</f>
        <v>0.22932000000000002</v>
      </c>
      <c r="J79" s="91">
        <f t="shared" ref="J79" si="48">SUM(J39,J43:J64,J68:J70)</f>
        <v>0.23227000000000003</v>
      </c>
      <c r="K79" s="91"/>
      <c r="L79" s="91">
        <f>SUM(L39,L43:L64,L68:L70)</f>
        <v>0.23207000000000003</v>
      </c>
    </row>
    <row r="80" spans="1:17" x14ac:dyDescent="0.3">
      <c r="A80" s="1"/>
      <c r="C80" s="44" t="s">
        <v>192</v>
      </c>
      <c r="H80" s="91">
        <f>SUM(H40,H43:H63,H68:H70)</f>
        <v>4.8439999999999997E-2</v>
      </c>
      <c r="I80" s="91">
        <f>SUM(I40,I43:I63,I68:I70)</f>
        <v>6.6949999999999996E-2</v>
      </c>
      <c r="J80" s="91">
        <f t="shared" ref="J80" si="49">SUM(J40,J43:J63,J68:J70)</f>
        <v>6.989999999999999E-2</v>
      </c>
      <c r="K80" s="91"/>
      <c r="L80" s="91">
        <f>SUM(L40,L43:L63,L68:L70)</f>
        <v>6.9699999999999998E-2</v>
      </c>
    </row>
    <row r="81" spans="1:12" x14ac:dyDescent="0.3">
      <c r="A81" s="1"/>
      <c r="C81" s="44" t="s">
        <v>193</v>
      </c>
      <c r="H81" s="91">
        <f>SUM(H41,H43:H63,H68:H70,H66)</f>
        <v>0.30053000000000002</v>
      </c>
      <c r="I81" s="91">
        <f>SUM(I41,I43:I63,I68:I70,I66)</f>
        <v>0.31903999999999999</v>
      </c>
      <c r="J81" s="91">
        <f t="shared" ref="J81" si="50">SUM(J41,J43:J63,J68:J70,J66)</f>
        <v>0.32199</v>
      </c>
      <c r="K81" s="91"/>
      <c r="L81" s="91">
        <f>SUM(L41,L43:L63,L68:L70,L66)</f>
        <v>0.32179000000000002</v>
      </c>
    </row>
    <row r="82" spans="1:12" x14ac:dyDescent="0.3">
      <c r="A82" s="1"/>
      <c r="C82" s="44" t="s">
        <v>194</v>
      </c>
      <c r="H82" s="91">
        <f>SUM(H42,H43:H63,H68:H70)</f>
        <v>5.0639999999999998E-2</v>
      </c>
      <c r="I82" s="91">
        <f>SUM(I42,I43:I63,I68:I70)</f>
        <v>6.9149999999999989E-2</v>
      </c>
      <c r="J82" s="91">
        <f t="shared" ref="J82" si="51">SUM(J42,J43:J63,J68:J70)</f>
        <v>7.2099999999999997E-2</v>
      </c>
      <c r="K82" s="91"/>
      <c r="L82" s="91">
        <f>SUM(L42,L43:L63,L68:L70)</f>
        <v>7.1899999999999992E-2</v>
      </c>
    </row>
    <row r="83" spans="1:12" x14ac:dyDescent="0.3">
      <c r="A83" s="1"/>
      <c r="C83" s="44" t="s">
        <v>123</v>
      </c>
      <c r="H83" s="91">
        <f>SUM(H71)</f>
        <v>0.15676999999999999</v>
      </c>
      <c r="I83" s="91">
        <f>SUM(I71)</f>
        <v>0.15676999999999999</v>
      </c>
      <c r="J83" s="91">
        <f t="shared" ref="J83:L83" si="52">SUM(J71)</f>
        <v>0.15676999999999999</v>
      </c>
      <c r="K83" s="91"/>
      <c r="L83" s="91">
        <f t="shared" si="52"/>
        <v>0.15676999999999999</v>
      </c>
    </row>
    <row r="84" spans="1:12" x14ac:dyDescent="0.3">
      <c r="J84" s="54"/>
    </row>
    <row r="86" spans="1:12" x14ac:dyDescent="0.3">
      <c r="J86" s="186"/>
    </row>
    <row r="87" spans="1:12" x14ac:dyDescent="0.3">
      <c r="J87" s="187"/>
    </row>
    <row r="88" spans="1:12" x14ac:dyDescent="0.3">
      <c r="J88" s="187"/>
    </row>
    <row r="111" spans="2:22" x14ac:dyDescent="0.3">
      <c r="B111" s="169"/>
    </row>
    <row r="112" spans="2:22" x14ac:dyDescent="0.3">
      <c r="B112" s="144"/>
      <c r="C112" s="145"/>
      <c r="D112" s="146"/>
      <c r="E112" s="146"/>
      <c r="F112" s="146"/>
      <c r="G112" s="147"/>
      <c r="H112" s="146"/>
      <c r="I112" s="146"/>
      <c r="J112" s="146"/>
      <c r="K112" s="147"/>
      <c r="L112" s="146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</row>
    <row r="113" spans="2:22" x14ac:dyDescent="0.3">
      <c r="B113" s="144"/>
      <c r="C113" s="163"/>
      <c r="D113" s="146"/>
      <c r="E113" s="146"/>
      <c r="F113" s="146"/>
      <c r="G113" s="147"/>
      <c r="H113" s="146"/>
      <c r="I113" s="146"/>
      <c r="J113" s="146"/>
      <c r="K113" s="147"/>
      <c r="L113" s="146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</row>
    <row r="114" spans="2:22" x14ac:dyDescent="0.3">
      <c r="B114" s="144"/>
      <c r="C114" s="163"/>
      <c r="D114" s="146"/>
      <c r="E114" s="146"/>
      <c r="F114" s="146"/>
      <c r="G114" s="170"/>
      <c r="H114" s="146"/>
      <c r="I114" s="146"/>
      <c r="J114" s="146"/>
      <c r="K114" s="170"/>
      <c r="L114" s="146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</row>
    <row r="115" spans="2:22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</row>
    <row r="116" spans="2:22" x14ac:dyDescent="0.3">
      <c r="B116" s="144"/>
      <c r="C116" s="145"/>
      <c r="D116" s="146"/>
      <c r="E116" s="146"/>
      <c r="F116" s="146"/>
      <c r="G116" s="147"/>
      <c r="H116" s="146"/>
      <c r="I116" s="146"/>
      <c r="J116" s="146"/>
      <c r="K116" s="147"/>
      <c r="L116" s="146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</row>
    <row r="117" spans="2:22" x14ac:dyDescent="0.3">
      <c r="B117" s="144"/>
      <c r="C117" s="163"/>
      <c r="D117" s="146"/>
      <c r="E117" s="146"/>
      <c r="F117" s="146"/>
      <c r="G117" s="147"/>
      <c r="H117" s="146"/>
      <c r="I117" s="146"/>
      <c r="J117" s="146"/>
      <c r="K117" s="147"/>
      <c r="L117" s="146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</row>
    <row r="118" spans="2:22" x14ac:dyDescent="0.3">
      <c r="B118" s="144"/>
      <c r="C118" s="163"/>
      <c r="D118" s="146"/>
      <c r="E118" s="146"/>
      <c r="F118" s="146"/>
      <c r="G118" s="170"/>
      <c r="H118" s="146"/>
      <c r="I118" s="146"/>
      <c r="J118" s="146"/>
      <c r="K118" s="170"/>
      <c r="L118" s="146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</row>
    <row r="119" spans="2:22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</row>
  </sheetData>
  <mergeCells count="14">
    <mergeCell ref="Z11:AA11"/>
    <mergeCell ref="D23:F23"/>
    <mergeCell ref="H23:J23"/>
    <mergeCell ref="L23:M23"/>
    <mergeCell ref="O23:Q23"/>
    <mergeCell ref="S23:T23"/>
    <mergeCell ref="V23:X23"/>
    <mergeCell ref="Z23:AA23"/>
    <mergeCell ref="D11:F11"/>
    <mergeCell ref="H11:J11"/>
    <mergeCell ref="L11:M11"/>
    <mergeCell ref="O11:Q11"/>
    <mergeCell ref="S11:T11"/>
    <mergeCell ref="V11:X11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460E-8CBA-4B92-90BB-3D6D7055BD67}">
  <sheetPr>
    <tabColor theme="3" tint="0.59999389629810485"/>
    <pageSetUpPr fitToPage="1"/>
  </sheetPr>
  <dimension ref="A1:AF144"/>
  <sheetViews>
    <sheetView zoomScaleNormal="100" workbookViewId="0"/>
  </sheetViews>
  <sheetFormatPr defaultColWidth="9.1796875" defaultRowHeight="14" x14ac:dyDescent="0.3"/>
  <cols>
    <col min="1" max="1" width="3.81640625" style="2" customWidth="1"/>
    <col min="2" max="2" width="4.453125" style="2" bestFit="1" customWidth="1"/>
    <col min="3" max="4" width="11.81640625" style="2" customWidth="1"/>
    <col min="5" max="6" width="12.36328125" style="2" bestFit="1" customWidth="1"/>
    <col min="7" max="7" width="13.08984375" style="2" bestFit="1" customWidth="1"/>
    <col min="8" max="8" width="2.1796875" style="2" customWidth="1"/>
    <col min="9" max="10" width="12.36328125" style="2" bestFit="1" customWidth="1"/>
    <col min="11" max="11" width="13.08984375" style="2" bestFit="1" customWidth="1"/>
    <col min="12" max="12" width="2.1796875" style="2" customWidth="1"/>
    <col min="13" max="14" width="11.81640625" style="2" customWidth="1"/>
    <col min="15" max="15" width="2.1796875" style="2" customWidth="1"/>
    <col min="16" max="16" width="12.6328125" style="2" bestFit="1" customWidth="1"/>
    <col min="17" max="17" width="12.36328125" style="2" bestFit="1" customWidth="1"/>
    <col min="18" max="18" width="13.08984375" style="2" bestFit="1" customWidth="1"/>
    <col min="19" max="19" width="2.1796875" style="2" customWidth="1"/>
    <col min="20" max="21" width="11.81640625" style="2" customWidth="1"/>
    <col min="22" max="22" width="2.1796875" style="2" customWidth="1"/>
    <col min="23" max="24" width="12.36328125" style="2" bestFit="1" customWidth="1"/>
    <col min="25" max="25" width="13.08984375" style="2" bestFit="1" customWidth="1"/>
    <col min="26" max="26" width="2.1796875" style="2" customWidth="1"/>
    <col min="27" max="28" width="11.81640625" style="2" customWidth="1"/>
    <col min="29" max="29" width="13" style="2" bestFit="1" customWidth="1"/>
    <col min="30" max="30" width="8.453125" style="2" bestFit="1" customWidth="1"/>
    <col min="31" max="16384" width="9.1796875" style="2"/>
  </cols>
  <sheetData>
    <row r="1" spans="1:32" x14ac:dyDescent="0.3">
      <c r="A1" s="1">
        <v>1</v>
      </c>
    </row>
    <row r="2" spans="1:32" x14ac:dyDescent="0.3">
      <c r="A2" s="1">
        <f>A1+1</f>
        <v>2</v>
      </c>
    </row>
    <row r="3" spans="1:32" x14ac:dyDescent="0.3">
      <c r="A3" s="1">
        <f t="shared" ref="A3:A66" si="0">A2+1</f>
        <v>3</v>
      </c>
      <c r="B3" s="24" t="s">
        <v>40</v>
      </c>
    </row>
    <row r="4" spans="1:32" x14ac:dyDescent="0.3">
      <c r="A4" s="1">
        <f t="shared" si="0"/>
        <v>4</v>
      </c>
      <c r="B4" s="24" t="s">
        <v>41</v>
      </c>
      <c r="C4" s="44"/>
      <c r="D4" s="44"/>
      <c r="E4" s="149"/>
      <c r="F4" s="22"/>
      <c r="G4" s="150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32" x14ac:dyDescent="0.3">
      <c r="A5" s="1">
        <f t="shared" si="0"/>
        <v>5</v>
      </c>
      <c r="B5" s="24"/>
      <c r="C5" s="44"/>
      <c r="D5" s="44"/>
      <c r="E5" s="149"/>
      <c r="F5" s="22"/>
      <c r="G5" s="150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32" x14ac:dyDescent="0.3">
      <c r="A6" s="1">
        <f t="shared" si="0"/>
        <v>6</v>
      </c>
      <c r="B6" s="24" t="s">
        <v>195</v>
      </c>
      <c r="C6" s="44"/>
      <c r="D6" s="44"/>
      <c r="E6" s="149"/>
      <c r="F6" s="22"/>
      <c r="G6" s="150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2" x14ac:dyDescent="0.3">
      <c r="A7" s="1">
        <f t="shared" si="0"/>
        <v>7</v>
      </c>
      <c r="B7" s="24" t="s">
        <v>196</v>
      </c>
      <c r="C7" s="44"/>
      <c r="D7" s="44"/>
      <c r="E7" s="149"/>
      <c r="F7" s="22"/>
      <c r="G7" s="150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2" x14ac:dyDescent="0.3">
      <c r="A8" s="1">
        <f t="shared" si="0"/>
        <v>8</v>
      </c>
      <c r="B8" s="151"/>
      <c r="C8" s="44"/>
      <c r="D8" s="44"/>
      <c r="E8" s="149"/>
      <c r="F8" s="22"/>
      <c r="G8" s="150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2" x14ac:dyDescent="0.3">
      <c r="A9" s="1">
        <f t="shared" si="0"/>
        <v>9</v>
      </c>
      <c r="B9" s="104"/>
      <c r="C9" s="44"/>
      <c r="D9" s="44"/>
      <c r="E9" s="44"/>
      <c r="F9" s="44"/>
      <c r="G9" s="132"/>
      <c r="H9" s="44"/>
    </row>
    <row r="10" spans="1:32" x14ac:dyDescent="0.3">
      <c r="A10" s="1">
        <f t="shared" si="0"/>
        <v>10</v>
      </c>
      <c r="B10" s="31"/>
      <c r="C10" s="44"/>
      <c r="D10" s="44"/>
      <c r="E10" s="44"/>
      <c r="F10" s="44"/>
      <c r="G10" s="132"/>
      <c r="H10" s="44"/>
    </row>
    <row r="11" spans="1:32" x14ac:dyDescent="0.3">
      <c r="A11" s="1">
        <f t="shared" si="0"/>
        <v>11</v>
      </c>
      <c r="B11" s="31"/>
      <c r="C11" s="104" t="s">
        <v>2</v>
      </c>
      <c r="D11" s="104" t="s">
        <v>2</v>
      </c>
      <c r="E11" s="32" t="str">
        <f>'EMA R1'!D10</f>
        <v>2024 Monthly Bill</v>
      </c>
      <c r="F11" s="32"/>
      <c r="G11" s="32"/>
      <c r="H11" s="133"/>
      <c r="I11" s="32" t="str">
        <f>'EMA R1'!H10</f>
        <v>2025 Illustrative Monthly Bill</v>
      </c>
      <c r="J11" s="32"/>
      <c r="K11" s="32"/>
      <c r="L11" s="23"/>
      <c r="M11" s="32" t="str">
        <f>'EMA R1'!L10</f>
        <v>2025 vs. 2024</v>
      </c>
      <c r="N11" s="32"/>
      <c r="O11" s="27"/>
      <c r="P11" s="32" t="str">
        <f>'EMA R1'!O10</f>
        <v>2026 Illustrative Monthly Bill</v>
      </c>
      <c r="Q11" s="32"/>
      <c r="R11" s="32"/>
      <c r="S11" s="133"/>
      <c r="T11" s="32" t="str">
        <f>'EMA R1'!S10</f>
        <v>2026 vs. 2025</v>
      </c>
      <c r="U11" s="32"/>
      <c r="V11" s="23"/>
      <c r="W11" s="32" t="str">
        <f>'EMA R1'!V10</f>
        <v>2027 Illustrative Monthly Bill</v>
      </c>
      <c r="X11" s="32"/>
      <c r="Y11" s="32"/>
      <c r="Z11" s="133"/>
      <c r="AA11" s="32" t="str">
        <f>'EMA R1'!Z10</f>
        <v>2027 vs. 2026</v>
      </c>
      <c r="AB11" s="32"/>
      <c r="AC11" s="28"/>
      <c r="AD11" s="28"/>
    </row>
    <row r="12" spans="1:32" x14ac:dyDescent="0.3">
      <c r="A12" s="1">
        <f t="shared" si="0"/>
        <v>12</v>
      </c>
      <c r="B12" s="31"/>
      <c r="C12" s="134" t="s">
        <v>125</v>
      </c>
      <c r="D12" s="134" t="s">
        <v>47</v>
      </c>
      <c r="E12" s="34" t="s">
        <v>48</v>
      </c>
      <c r="F12" s="34" t="s">
        <v>49</v>
      </c>
      <c r="G12" s="34" t="s">
        <v>50</v>
      </c>
      <c r="H12" s="34"/>
      <c r="I12" s="34" t="s">
        <v>48</v>
      </c>
      <c r="J12" s="34" t="s">
        <v>49</v>
      </c>
      <c r="K12" s="34" t="s">
        <v>50</v>
      </c>
      <c r="L12" s="23"/>
      <c r="M12" s="34" t="s">
        <v>51</v>
      </c>
      <c r="N12" s="34" t="s">
        <v>14</v>
      </c>
      <c r="O12" s="34"/>
      <c r="P12" s="34" t="s">
        <v>48</v>
      </c>
      <c r="Q12" s="34" t="s">
        <v>49</v>
      </c>
      <c r="R12" s="34" t="s">
        <v>50</v>
      </c>
      <c r="S12" s="34"/>
      <c r="T12" s="34" t="s">
        <v>51</v>
      </c>
      <c r="U12" s="34" t="s">
        <v>14</v>
      </c>
      <c r="V12" s="23"/>
      <c r="W12" s="34" t="s">
        <v>48</v>
      </c>
      <c r="X12" s="34" t="s">
        <v>49</v>
      </c>
      <c r="Y12" s="34" t="s">
        <v>50</v>
      </c>
      <c r="Z12" s="34"/>
      <c r="AA12" s="34" t="s">
        <v>51</v>
      </c>
      <c r="AB12" s="34" t="s">
        <v>14</v>
      </c>
      <c r="AC12" s="28"/>
      <c r="AD12" s="28"/>
    </row>
    <row r="13" spans="1:32" x14ac:dyDescent="0.3">
      <c r="A13" s="1">
        <f t="shared" si="0"/>
        <v>13</v>
      </c>
      <c r="B13" s="31"/>
      <c r="C13" s="134"/>
      <c r="D13" s="134"/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7"/>
      <c r="Y13" s="44"/>
      <c r="Z13" s="44"/>
      <c r="AA13" s="44"/>
      <c r="AB13" s="44"/>
      <c r="AC13" s="44"/>
      <c r="AD13" s="44"/>
    </row>
    <row r="14" spans="1:32" x14ac:dyDescent="0.3">
      <c r="A14" s="1">
        <f t="shared" si="0"/>
        <v>14</v>
      </c>
      <c r="B14" s="31"/>
      <c r="C14" s="164" t="s">
        <v>126</v>
      </c>
      <c r="D14" s="104">
        <v>245</v>
      </c>
      <c r="E14" s="134"/>
      <c r="F14" s="134"/>
      <c r="G14" s="134"/>
      <c r="H14" s="44"/>
      <c r="I14" s="134"/>
      <c r="J14" s="134"/>
      <c r="K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7"/>
      <c r="Y14" s="44"/>
      <c r="Z14" s="44"/>
      <c r="AA14" s="44"/>
      <c r="AB14" s="44"/>
      <c r="AC14" s="44"/>
      <c r="AD14" s="44"/>
    </row>
    <row r="15" spans="1:32" x14ac:dyDescent="0.3">
      <c r="A15" s="1">
        <f t="shared" si="0"/>
        <v>15</v>
      </c>
      <c r="B15" s="31"/>
      <c r="C15" s="105">
        <v>75</v>
      </c>
      <c r="D15" s="106">
        <f>C15*$D$14</f>
        <v>18375</v>
      </c>
      <c r="E15" s="135">
        <f>ROUND(IF($C15&lt;=150,$G$90,IF($C15&lt;=300,$G$91,IF($C15&lt;=1000,$G$92,$G$93)))+$C15*$G$94+$D15*$G$95,2)</f>
        <v>2707.88</v>
      </c>
      <c r="F15" s="135">
        <f>ROUND($D15*$G$96,2)</f>
        <v>2225.9499999999998</v>
      </c>
      <c r="G15" s="135">
        <f t="shared" ref="G15:G25" si="1">SUM(E15:F15)</f>
        <v>4933.83</v>
      </c>
      <c r="H15" s="136"/>
      <c r="I15" s="135">
        <f>ROUND(IF($C15&lt;=150,$I$90,IF($C15&lt;=300,$I$91,IF($C15&lt;=1000,$I$92,$I$93)))+$C15*$I$94+$D15*$I$95,2)</f>
        <v>3048</v>
      </c>
      <c r="J15" s="135">
        <f>ROUND($D15*$I$96,2)</f>
        <v>2225.9499999999998</v>
      </c>
      <c r="K15" s="135">
        <f t="shared" ref="K15:K25" si="2">SUM(I15:J15)</f>
        <v>5273.95</v>
      </c>
      <c r="L15" s="136"/>
      <c r="M15" s="135">
        <f t="shared" ref="M15:M25" si="3">+K15-G15</f>
        <v>340.11999999999989</v>
      </c>
      <c r="N15" s="137">
        <f t="shared" ref="N15:N51" si="4">+M15/G15</f>
        <v>6.8936303034356661E-2</v>
      </c>
      <c r="O15" s="135"/>
      <c r="P15" s="135">
        <f>ROUND(IF($C15&lt;=150,$J$90,IF($C15&lt;=300,$J$91,IF($C15&lt;=1000,$J$92,$J$93)))+$C15*$J$94+$D15*$J$95,2)</f>
        <v>3102.21</v>
      </c>
      <c r="Q15" s="135">
        <f>ROUND($D15*$J$96,2)</f>
        <v>2225.9499999999998</v>
      </c>
      <c r="R15" s="135">
        <f t="shared" ref="R15:R51" si="5">SUM(P15:Q15)</f>
        <v>5328.16</v>
      </c>
      <c r="S15" s="136"/>
      <c r="T15" s="135">
        <f>+R15-K15</f>
        <v>54.210000000000036</v>
      </c>
      <c r="U15" s="137">
        <f>+T15/K15</f>
        <v>1.0278823272878969E-2</v>
      </c>
      <c r="V15" s="17"/>
      <c r="W15" s="135">
        <f>ROUND(IF($C15&lt;=150,$K$90,IF($C15&lt;=300,$K$91,IF($C15&lt;=1000,$K$92,$K$93)))+$C15*$K$94+$D15*$K$95,2)</f>
        <v>3098.54</v>
      </c>
      <c r="X15" s="135">
        <f>ROUND($D15*$K$96,2)</f>
        <v>2225.9499999999998</v>
      </c>
      <c r="Y15" s="135">
        <f t="shared" ref="Y15:Y51" si="6">SUM(W15:X15)</f>
        <v>5324.49</v>
      </c>
      <c r="Z15" s="136"/>
      <c r="AA15" s="135">
        <f>+Y15-R15</f>
        <v>-3.6700000000000728</v>
      </c>
      <c r="AB15" s="137">
        <f>+AA15/R15</f>
        <v>-6.8879312933546903E-4</v>
      </c>
      <c r="AC15" s="17"/>
      <c r="AD15" s="37"/>
      <c r="AE15" s="37"/>
      <c r="AF15" s="37"/>
    </row>
    <row r="16" spans="1:32" x14ac:dyDescent="0.3">
      <c r="A16" s="1">
        <f t="shared" si="0"/>
        <v>16</v>
      </c>
      <c r="B16" s="31"/>
      <c r="C16" s="105">
        <v>100</v>
      </c>
      <c r="D16" s="106">
        <f t="shared" ref="D16:D25" si="7">C16*$D$14</f>
        <v>24500</v>
      </c>
      <c r="E16" s="135">
        <f t="shared" ref="E16:E51" si="8">ROUND(IF($C16&lt;=150,$G$90,IF($C16&lt;=300,$G$91,IF($C16&lt;=1000,$G$92,$G$93)))+$C16*$G$94+$D16*$G$95,2)</f>
        <v>3601.51</v>
      </c>
      <c r="F16" s="135">
        <f t="shared" ref="F16:F51" si="9">ROUND($D16*$G$96,2)</f>
        <v>2967.93</v>
      </c>
      <c r="G16" s="135">
        <f t="shared" si="1"/>
        <v>6569.4400000000005</v>
      </c>
      <c r="H16" s="136"/>
      <c r="I16" s="135">
        <f t="shared" ref="I16:I51" si="10">ROUND(IF($C16&lt;=150,$I$90,IF($C16&lt;=300,$I$91,IF($C16&lt;=1000,$I$92,$I$93)))+$C16*$I$94+$D16*$I$95,2)</f>
        <v>4055.01</v>
      </c>
      <c r="J16" s="135">
        <f t="shared" ref="J16:J51" si="11">ROUND($D16*$I$96,2)</f>
        <v>2967.93</v>
      </c>
      <c r="K16" s="135">
        <f t="shared" si="2"/>
        <v>7022.9400000000005</v>
      </c>
      <c r="L16" s="136"/>
      <c r="M16" s="135">
        <f t="shared" si="3"/>
        <v>453.5</v>
      </c>
      <c r="N16" s="137">
        <f t="shared" si="4"/>
        <v>6.9031759175820162E-2</v>
      </c>
      <c r="O16" s="135"/>
      <c r="P16" s="135">
        <f t="shared" ref="P16:P51" si="12">ROUND(IF($C16&lt;=150,$J$90,IF($C16&lt;=300,$J$91,IF($C16&lt;=1000,$J$92,$J$93)))+$C16*$J$94+$D16*$J$95,2)</f>
        <v>4127.28</v>
      </c>
      <c r="Q16" s="135">
        <f t="shared" ref="Q16:Q51" si="13">ROUND($D16*$J$96,2)</f>
        <v>2967.93</v>
      </c>
      <c r="R16" s="135">
        <f t="shared" si="5"/>
        <v>7095.2099999999991</v>
      </c>
      <c r="S16" s="136"/>
      <c r="T16" s="135">
        <f t="shared" ref="T16:T51" si="14">+R16-K16</f>
        <v>72.269999999998618</v>
      </c>
      <c r="U16" s="137">
        <f t="shared" ref="U16:U51" si="15">+T16/K16</f>
        <v>1.0290562072294311E-2</v>
      </c>
      <c r="V16" s="17"/>
      <c r="W16" s="135">
        <f t="shared" ref="W16:W51" si="16">ROUND(IF($C16&lt;=150,$K$90,IF($C16&lt;=300,$K$91,IF($C16&lt;=1000,$K$92,$K$93)))+$C16*$K$94+$D16*$K$95,2)</f>
        <v>4122.38</v>
      </c>
      <c r="X16" s="135">
        <f t="shared" ref="X16:X51" si="17">ROUND($D16*$K$96,2)</f>
        <v>2967.93</v>
      </c>
      <c r="Y16" s="135">
        <f t="shared" si="6"/>
        <v>7090.3099999999995</v>
      </c>
      <c r="Z16" s="136"/>
      <c r="AA16" s="135">
        <f t="shared" ref="AA16:AA51" si="18">+Y16-R16</f>
        <v>-4.8999999999996362</v>
      </c>
      <c r="AB16" s="137">
        <f t="shared" ref="AB16:AB51" si="19">+AA16/R16</f>
        <v>-6.9060676146296405E-4</v>
      </c>
      <c r="AC16" s="17"/>
      <c r="AD16" s="37"/>
      <c r="AE16" s="37"/>
      <c r="AF16" s="37"/>
    </row>
    <row r="17" spans="1:32" x14ac:dyDescent="0.3">
      <c r="A17" s="1">
        <f t="shared" si="0"/>
        <v>17</v>
      </c>
      <c r="B17" s="31"/>
      <c r="C17" s="105">
        <v>125</v>
      </c>
      <c r="D17" s="106">
        <f t="shared" si="7"/>
        <v>30625</v>
      </c>
      <c r="E17" s="135">
        <f t="shared" si="8"/>
        <v>4495.1400000000003</v>
      </c>
      <c r="F17" s="135">
        <f t="shared" si="9"/>
        <v>3709.91</v>
      </c>
      <c r="G17" s="135">
        <f t="shared" si="1"/>
        <v>8205.0499999999993</v>
      </c>
      <c r="H17" s="136"/>
      <c r="I17" s="135">
        <f t="shared" si="10"/>
        <v>5062.01</v>
      </c>
      <c r="J17" s="135">
        <f t="shared" si="11"/>
        <v>3709.91</v>
      </c>
      <c r="K17" s="135">
        <f t="shared" si="2"/>
        <v>8771.92</v>
      </c>
      <c r="L17" s="136"/>
      <c r="M17" s="135">
        <f t="shared" si="3"/>
        <v>566.8700000000008</v>
      </c>
      <c r="N17" s="137">
        <f t="shared" si="4"/>
        <v>6.9087939744425786E-2</v>
      </c>
      <c r="O17" s="135"/>
      <c r="P17" s="135">
        <f t="shared" si="12"/>
        <v>5152.3500000000004</v>
      </c>
      <c r="Q17" s="135">
        <f t="shared" si="13"/>
        <v>3709.91</v>
      </c>
      <c r="R17" s="135">
        <f t="shared" si="5"/>
        <v>8862.26</v>
      </c>
      <c r="S17" s="136"/>
      <c r="T17" s="135">
        <f t="shared" si="14"/>
        <v>90.340000000000146</v>
      </c>
      <c r="U17" s="137">
        <f t="shared" si="15"/>
        <v>1.0298771534624135E-2</v>
      </c>
      <c r="V17" s="17"/>
      <c r="W17" s="135">
        <f>ROUND(IF($C17&lt;=150,$K$90,IF($C17&lt;=300,$K$91,IF($C17&lt;=1000,$K$92,$K$93)))+$C17*$K$94+$D17*$K$95,2)</f>
        <v>5146.2299999999996</v>
      </c>
      <c r="X17" s="135">
        <f t="shared" si="17"/>
        <v>3709.91</v>
      </c>
      <c r="Y17" s="135">
        <f t="shared" si="6"/>
        <v>8856.14</v>
      </c>
      <c r="Z17" s="136"/>
      <c r="AA17" s="135">
        <f t="shared" si="18"/>
        <v>-6.1200000000008004</v>
      </c>
      <c r="AB17" s="137">
        <f t="shared" si="19"/>
        <v>-6.9056877139700261E-4</v>
      </c>
      <c r="AC17" s="17"/>
      <c r="AD17" s="37"/>
      <c r="AE17" s="37"/>
      <c r="AF17" s="37"/>
    </row>
    <row r="18" spans="1:32" x14ac:dyDescent="0.3">
      <c r="A18" s="1">
        <f t="shared" si="0"/>
        <v>18</v>
      </c>
      <c r="B18" s="31"/>
      <c r="C18" s="105">
        <v>150</v>
      </c>
      <c r="D18" s="106">
        <f t="shared" si="7"/>
        <v>36750</v>
      </c>
      <c r="E18" s="135">
        <f t="shared" si="8"/>
        <v>5388.77</v>
      </c>
      <c r="F18" s="135">
        <f>ROUND($D18*$G$96,2)</f>
        <v>4451.8999999999996</v>
      </c>
      <c r="G18" s="135">
        <f t="shared" si="1"/>
        <v>9840.67</v>
      </c>
      <c r="H18" s="136"/>
      <c r="I18" s="135">
        <f>ROUND(IF($C18&lt;=150,$I$90,IF($C18&lt;=300,$I$91,IF($C18&lt;=1000,$I$92,$I$93)))+$C18*$I$94+$D18*$I$95,2)</f>
        <v>6069.01</v>
      </c>
      <c r="J18" s="135">
        <f>ROUND($D18*$I$96,2)</f>
        <v>4451.8999999999996</v>
      </c>
      <c r="K18" s="135">
        <f t="shared" si="2"/>
        <v>10520.91</v>
      </c>
      <c r="L18" s="136"/>
      <c r="M18" s="135">
        <f t="shared" si="3"/>
        <v>680.23999999999978</v>
      </c>
      <c r="N18" s="137">
        <f t="shared" si="4"/>
        <v>6.9125374593396571E-2</v>
      </c>
      <c r="O18" s="135"/>
      <c r="P18" s="135">
        <f>ROUND(IF($C18&lt;=150,$J$90,IF($C18&lt;=300,$J$91,IF($C18&lt;=1000,$J$92,$J$93)))+$C18*$J$94+$D18*$J$95,2)</f>
        <v>6177.42</v>
      </c>
      <c r="Q18" s="135">
        <f>ROUND($D18*$J$96,2)</f>
        <v>4451.8999999999996</v>
      </c>
      <c r="R18" s="135">
        <f t="shared" si="5"/>
        <v>10629.32</v>
      </c>
      <c r="S18" s="136"/>
      <c r="T18" s="135">
        <f t="shared" si="14"/>
        <v>108.40999999999985</v>
      </c>
      <c r="U18" s="137">
        <f t="shared" si="15"/>
        <v>1.0304241743347282E-2</v>
      </c>
      <c r="V18" s="17"/>
      <c r="W18" s="135">
        <f t="shared" si="16"/>
        <v>6170.07</v>
      </c>
      <c r="X18" s="135">
        <f t="shared" si="17"/>
        <v>4451.8999999999996</v>
      </c>
      <c r="Y18" s="135">
        <f t="shared" si="6"/>
        <v>10621.97</v>
      </c>
      <c r="Z18" s="136"/>
      <c r="AA18" s="135">
        <f t="shared" si="18"/>
        <v>-7.3500000000003638</v>
      </c>
      <c r="AB18" s="137">
        <f t="shared" si="19"/>
        <v>-6.9148355680329163E-4</v>
      </c>
      <c r="AC18" s="17"/>
      <c r="AD18" s="37"/>
      <c r="AE18" s="37"/>
      <c r="AF18" s="37"/>
    </row>
    <row r="19" spans="1:32" x14ac:dyDescent="0.3">
      <c r="A19" s="1">
        <f t="shared" si="0"/>
        <v>19</v>
      </c>
      <c r="B19" s="31"/>
      <c r="C19" s="105">
        <v>170</v>
      </c>
      <c r="D19" s="106">
        <f t="shared" si="7"/>
        <v>41650</v>
      </c>
      <c r="E19" s="135">
        <f>ROUND(IF($C19&lt;=150,$G$90,IF($C19&lt;=300,$G$91,IF($C19&lt;=1000,$G$92,$G$93)))+$C19*$G$94+$D19*$G$95,2)</f>
        <v>6186.67</v>
      </c>
      <c r="F19" s="135">
        <f t="shared" si="9"/>
        <v>5045.4799999999996</v>
      </c>
      <c r="G19" s="135">
        <f t="shared" si="1"/>
        <v>11232.15</v>
      </c>
      <c r="H19" s="136"/>
      <c r="I19" s="135">
        <f t="shared" si="10"/>
        <v>6957.61</v>
      </c>
      <c r="J19" s="135">
        <f t="shared" si="11"/>
        <v>5045.4799999999996</v>
      </c>
      <c r="K19" s="135">
        <f t="shared" si="2"/>
        <v>12003.09</v>
      </c>
      <c r="L19" s="136"/>
      <c r="M19" s="135">
        <f t="shared" si="3"/>
        <v>770.94000000000051</v>
      </c>
      <c r="N19" s="137">
        <f t="shared" si="4"/>
        <v>6.8636903887501544E-2</v>
      </c>
      <c r="O19" s="135"/>
      <c r="P19" s="135">
        <f t="shared" si="12"/>
        <v>7080.48</v>
      </c>
      <c r="Q19" s="135">
        <f t="shared" si="13"/>
        <v>5045.4799999999996</v>
      </c>
      <c r="R19" s="135">
        <f t="shared" si="5"/>
        <v>12125.96</v>
      </c>
      <c r="S19" s="136"/>
      <c r="T19" s="135">
        <f t="shared" si="14"/>
        <v>122.86999999999898</v>
      </c>
      <c r="U19" s="137">
        <f t="shared" si="15"/>
        <v>1.0236530759995883E-2</v>
      </c>
      <c r="V19" s="17"/>
      <c r="W19" s="135">
        <f t="shared" si="16"/>
        <v>7072.15</v>
      </c>
      <c r="X19" s="135">
        <f t="shared" si="17"/>
        <v>5045.4799999999996</v>
      </c>
      <c r="Y19" s="135">
        <f t="shared" si="6"/>
        <v>12117.63</v>
      </c>
      <c r="Z19" s="136"/>
      <c r="AA19" s="135">
        <f t="shared" si="18"/>
        <v>-8.3299999999999272</v>
      </c>
      <c r="AB19" s="137">
        <f t="shared" si="19"/>
        <v>-6.8695591936637822E-4</v>
      </c>
      <c r="AC19" s="17"/>
      <c r="AD19" s="37"/>
      <c r="AE19" s="37"/>
      <c r="AF19" s="37"/>
    </row>
    <row r="20" spans="1:32" x14ac:dyDescent="0.3">
      <c r="A20" s="1">
        <f t="shared" si="0"/>
        <v>20</v>
      </c>
      <c r="B20" s="31"/>
      <c r="C20" s="105">
        <v>200</v>
      </c>
      <c r="D20" s="106">
        <f t="shared" si="7"/>
        <v>49000</v>
      </c>
      <c r="E20" s="135">
        <f t="shared" si="8"/>
        <v>7259.02</v>
      </c>
      <c r="F20" s="135">
        <f t="shared" si="9"/>
        <v>5935.86</v>
      </c>
      <c r="G20" s="135">
        <f t="shared" si="1"/>
        <v>13194.880000000001</v>
      </c>
      <c r="H20" s="136"/>
      <c r="I20" s="135">
        <f t="shared" si="10"/>
        <v>8166.01</v>
      </c>
      <c r="J20" s="135">
        <f t="shared" si="11"/>
        <v>5935.86</v>
      </c>
      <c r="K20" s="135">
        <f t="shared" si="2"/>
        <v>14101.869999999999</v>
      </c>
      <c r="L20" s="136"/>
      <c r="M20" s="135">
        <f t="shared" si="3"/>
        <v>906.98999999999796</v>
      </c>
      <c r="N20" s="137">
        <f t="shared" si="4"/>
        <v>6.8738025658437049E-2</v>
      </c>
      <c r="O20" s="135"/>
      <c r="P20" s="135">
        <f t="shared" si="12"/>
        <v>8310.56</v>
      </c>
      <c r="Q20" s="135">
        <f t="shared" si="13"/>
        <v>5935.86</v>
      </c>
      <c r="R20" s="135">
        <f t="shared" si="5"/>
        <v>14246.419999999998</v>
      </c>
      <c r="S20" s="136"/>
      <c r="T20" s="135">
        <f t="shared" si="14"/>
        <v>144.54999999999927</v>
      </c>
      <c r="U20" s="137">
        <f t="shared" si="15"/>
        <v>1.0250413597629199E-2</v>
      </c>
      <c r="V20" s="17"/>
      <c r="W20" s="135">
        <f t="shared" si="16"/>
        <v>8300.76</v>
      </c>
      <c r="X20" s="135">
        <f>ROUND($D20*$K$96,2)</f>
        <v>5935.86</v>
      </c>
      <c r="Y20" s="135">
        <f t="shared" si="6"/>
        <v>14236.619999999999</v>
      </c>
      <c r="Z20" s="136"/>
      <c r="AA20" s="135">
        <f t="shared" si="18"/>
        <v>-9.7999999999992724</v>
      </c>
      <c r="AB20" s="137">
        <f t="shared" si="19"/>
        <v>-6.8789211605436832E-4</v>
      </c>
      <c r="AC20" s="17"/>
      <c r="AD20" s="37"/>
      <c r="AE20" s="37"/>
      <c r="AF20" s="37"/>
    </row>
    <row r="21" spans="1:32" x14ac:dyDescent="0.3">
      <c r="A21" s="1">
        <f t="shared" si="0"/>
        <v>21</v>
      </c>
      <c r="B21" s="31"/>
      <c r="C21" s="105">
        <v>230</v>
      </c>
      <c r="D21" s="106">
        <f t="shared" si="7"/>
        <v>56350</v>
      </c>
      <c r="E21" s="135">
        <f t="shared" si="8"/>
        <v>8331.3700000000008</v>
      </c>
      <c r="F21" s="135">
        <f t="shared" si="9"/>
        <v>6826.24</v>
      </c>
      <c r="G21" s="135">
        <f t="shared" si="1"/>
        <v>15157.61</v>
      </c>
      <c r="H21" s="136"/>
      <c r="I21" s="135">
        <f t="shared" si="10"/>
        <v>9374.41</v>
      </c>
      <c r="J21" s="135">
        <f t="shared" si="11"/>
        <v>6826.24</v>
      </c>
      <c r="K21" s="135">
        <f t="shared" si="2"/>
        <v>16200.65</v>
      </c>
      <c r="L21" s="136"/>
      <c r="M21" s="135">
        <f t="shared" si="3"/>
        <v>1043.0399999999991</v>
      </c>
      <c r="N21" s="137">
        <f t="shared" si="4"/>
        <v>6.8812959298992324E-2</v>
      </c>
      <c r="O21" s="135"/>
      <c r="P21" s="135">
        <f t="shared" si="12"/>
        <v>9540.64</v>
      </c>
      <c r="Q21" s="135">
        <f t="shared" si="13"/>
        <v>6826.24</v>
      </c>
      <c r="R21" s="135">
        <f t="shared" si="5"/>
        <v>16366.88</v>
      </c>
      <c r="S21" s="136"/>
      <c r="T21" s="135">
        <f t="shared" si="14"/>
        <v>166.22999999999956</v>
      </c>
      <c r="U21" s="137">
        <f t="shared" si="15"/>
        <v>1.0260699416381415E-2</v>
      </c>
      <c r="V21" s="17"/>
      <c r="W21" s="135">
        <f t="shared" si="16"/>
        <v>9529.3700000000008</v>
      </c>
      <c r="X21" s="135">
        <f t="shared" si="17"/>
        <v>6826.24</v>
      </c>
      <c r="Y21" s="135">
        <f t="shared" si="6"/>
        <v>16355.61</v>
      </c>
      <c r="Z21" s="136"/>
      <c r="AA21" s="135">
        <f t="shared" si="18"/>
        <v>-11.269999999998618</v>
      </c>
      <c r="AB21" s="137">
        <f t="shared" si="19"/>
        <v>-6.8858572922869958E-4</v>
      </c>
      <c r="AC21" s="17"/>
      <c r="AD21" s="37"/>
      <c r="AE21" s="37"/>
      <c r="AF21" s="37"/>
    </row>
    <row r="22" spans="1:32" x14ac:dyDescent="0.3">
      <c r="A22" s="1">
        <f t="shared" si="0"/>
        <v>22</v>
      </c>
      <c r="B22" s="31"/>
      <c r="C22" s="105">
        <v>300</v>
      </c>
      <c r="D22" s="106">
        <f t="shared" si="7"/>
        <v>73500</v>
      </c>
      <c r="E22" s="135">
        <f t="shared" si="8"/>
        <v>10833.53</v>
      </c>
      <c r="F22" s="135">
        <f t="shared" si="9"/>
        <v>8903.7900000000009</v>
      </c>
      <c r="G22" s="135">
        <f t="shared" si="1"/>
        <v>19737.32</v>
      </c>
      <c r="H22" s="136"/>
      <c r="I22" s="135">
        <f t="shared" si="10"/>
        <v>12194.02</v>
      </c>
      <c r="J22" s="135">
        <f t="shared" si="11"/>
        <v>8903.7900000000009</v>
      </c>
      <c r="K22" s="135">
        <f t="shared" si="2"/>
        <v>21097.81</v>
      </c>
      <c r="L22" s="136"/>
      <c r="M22" s="135">
        <f t="shared" si="3"/>
        <v>1360.4900000000016</v>
      </c>
      <c r="N22" s="137">
        <f t="shared" si="4"/>
        <v>6.8929824312520732E-2</v>
      </c>
      <c r="O22" s="135"/>
      <c r="P22" s="135">
        <f t="shared" si="12"/>
        <v>12410.84</v>
      </c>
      <c r="Q22" s="135">
        <f t="shared" si="13"/>
        <v>8903.7900000000009</v>
      </c>
      <c r="R22" s="135">
        <f t="shared" si="5"/>
        <v>21314.63</v>
      </c>
      <c r="S22" s="136"/>
      <c r="T22" s="135">
        <f t="shared" si="14"/>
        <v>216.81999999999971</v>
      </c>
      <c r="U22" s="137">
        <f t="shared" si="15"/>
        <v>1.0276896038024785E-2</v>
      </c>
      <c r="V22" s="17"/>
      <c r="W22" s="135">
        <f t="shared" si="16"/>
        <v>12396.14</v>
      </c>
      <c r="X22" s="135">
        <f t="shared" si="17"/>
        <v>8903.7900000000009</v>
      </c>
      <c r="Y22" s="135">
        <f t="shared" si="6"/>
        <v>21299.93</v>
      </c>
      <c r="Z22" s="136"/>
      <c r="AA22" s="135">
        <f t="shared" si="18"/>
        <v>-14.700000000000728</v>
      </c>
      <c r="AB22" s="137">
        <f t="shared" si="19"/>
        <v>-6.8966714411654003E-4</v>
      </c>
      <c r="AC22" s="17"/>
      <c r="AD22" s="37"/>
      <c r="AE22" s="37"/>
      <c r="AF22" s="37"/>
    </row>
    <row r="23" spans="1:32" x14ac:dyDescent="0.3">
      <c r="A23" s="1">
        <f t="shared" si="0"/>
        <v>23</v>
      </c>
      <c r="B23" s="31"/>
      <c r="C23" s="105">
        <v>400</v>
      </c>
      <c r="D23" s="106">
        <f t="shared" si="7"/>
        <v>98000</v>
      </c>
      <c r="E23" s="135">
        <f t="shared" si="8"/>
        <v>14458.04</v>
      </c>
      <c r="F23" s="135">
        <f t="shared" si="9"/>
        <v>11871.72</v>
      </c>
      <c r="G23" s="135">
        <f t="shared" si="1"/>
        <v>26329.760000000002</v>
      </c>
      <c r="H23" s="136"/>
      <c r="I23" s="135">
        <f t="shared" si="10"/>
        <v>16272.02</v>
      </c>
      <c r="J23" s="135">
        <f t="shared" si="11"/>
        <v>11871.72</v>
      </c>
      <c r="K23" s="135">
        <f t="shared" si="2"/>
        <v>28143.739999999998</v>
      </c>
      <c r="L23" s="136"/>
      <c r="M23" s="135">
        <f t="shared" si="3"/>
        <v>1813.9799999999959</v>
      </c>
      <c r="N23" s="137">
        <f t="shared" si="4"/>
        <v>6.8894665200138386E-2</v>
      </c>
      <c r="O23" s="135"/>
      <c r="P23" s="135">
        <f t="shared" si="12"/>
        <v>16561.12</v>
      </c>
      <c r="Q23" s="135">
        <f t="shared" si="13"/>
        <v>11871.72</v>
      </c>
      <c r="R23" s="135">
        <f t="shared" si="5"/>
        <v>28432.839999999997</v>
      </c>
      <c r="S23" s="136"/>
      <c r="T23" s="135">
        <f t="shared" si="14"/>
        <v>289.09999999999854</v>
      </c>
      <c r="U23" s="137">
        <f t="shared" si="15"/>
        <v>1.0272266585748681E-2</v>
      </c>
      <c r="V23" s="17"/>
      <c r="W23" s="135">
        <f t="shared" si="16"/>
        <v>16541.52</v>
      </c>
      <c r="X23" s="135">
        <f t="shared" si="17"/>
        <v>11871.72</v>
      </c>
      <c r="Y23" s="135">
        <f t="shared" si="6"/>
        <v>28413.239999999998</v>
      </c>
      <c r="Z23" s="136"/>
      <c r="AA23" s="135">
        <f t="shared" si="18"/>
        <v>-19.599999999998545</v>
      </c>
      <c r="AB23" s="137">
        <f t="shared" si="19"/>
        <v>-6.8934373070008294E-4</v>
      </c>
      <c r="AC23" s="17"/>
      <c r="AD23" s="37"/>
      <c r="AE23" s="37"/>
      <c r="AF23" s="37"/>
    </row>
    <row r="24" spans="1:32" x14ac:dyDescent="0.3">
      <c r="A24" s="1">
        <f t="shared" si="0"/>
        <v>24</v>
      </c>
      <c r="B24" s="31"/>
      <c r="C24" s="105">
        <v>850</v>
      </c>
      <c r="D24" s="106">
        <f t="shared" si="7"/>
        <v>208250</v>
      </c>
      <c r="E24" s="135">
        <f t="shared" si="8"/>
        <v>30543.34</v>
      </c>
      <c r="F24" s="135">
        <f t="shared" si="9"/>
        <v>25227.41</v>
      </c>
      <c r="G24" s="135">
        <f t="shared" si="1"/>
        <v>55770.75</v>
      </c>
      <c r="H24" s="136"/>
      <c r="I24" s="135">
        <f t="shared" si="10"/>
        <v>34398.04</v>
      </c>
      <c r="J24" s="135">
        <f t="shared" si="11"/>
        <v>25227.41</v>
      </c>
      <c r="K24" s="135">
        <f t="shared" si="2"/>
        <v>59625.45</v>
      </c>
      <c r="L24" s="136"/>
      <c r="M24" s="135">
        <f t="shared" si="3"/>
        <v>3854.6999999999971</v>
      </c>
      <c r="N24" s="137">
        <f t="shared" si="4"/>
        <v>6.911687578165969E-2</v>
      </c>
      <c r="O24" s="135"/>
      <c r="P24" s="135">
        <f t="shared" si="12"/>
        <v>35012.379999999997</v>
      </c>
      <c r="Q24" s="135">
        <f t="shared" si="13"/>
        <v>25227.41</v>
      </c>
      <c r="R24" s="135">
        <f t="shared" si="5"/>
        <v>60239.789999999994</v>
      </c>
      <c r="S24" s="136"/>
      <c r="T24" s="135">
        <f t="shared" si="14"/>
        <v>614.33999999999651</v>
      </c>
      <c r="U24" s="137">
        <f t="shared" si="15"/>
        <v>1.0303318465520957E-2</v>
      </c>
      <c r="V24" s="17"/>
      <c r="W24" s="135">
        <f t="shared" si="16"/>
        <v>34970.730000000003</v>
      </c>
      <c r="X24" s="135">
        <f t="shared" si="17"/>
        <v>25227.41</v>
      </c>
      <c r="Y24" s="135">
        <f t="shared" si="6"/>
        <v>60198.14</v>
      </c>
      <c r="Z24" s="136"/>
      <c r="AA24" s="135">
        <f t="shared" si="18"/>
        <v>-41.649999999994179</v>
      </c>
      <c r="AB24" s="137">
        <f t="shared" si="19"/>
        <v>-6.9140347268797225E-4</v>
      </c>
      <c r="AC24" s="17"/>
      <c r="AD24" s="37"/>
      <c r="AE24" s="37"/>
      <c r="AF24" s="37"/>
    </row>
    <row r="25" spans="1:32" x14ac:dyDescent="0.3">
      <c r="A25" s="1">
        <f t="shared" si="0"/>
        <v>25</v>
      </c>
      <c r="B25" s="31" t="s">
        <v>52</v>
      </c>
      <c r="C25" s="106">
        <v>260</v>
      </c>
      <c r="D25" s="106">
        <f t="shared" si="7"/>
        <v>63700</v>
      </c>
      <c r="E25" s="135">
        <f t="shared" si="8"/>
        <v>9403.73</v>
      </c>
      <c r="F25" s="135">
        <f t="shared" si="9"/>
        <v>7716.62</v>
      </c>
      <c r="G25" s="135">
        <f t="shared" si="1"/>
        <v>17120.349999999999</v>
      </c>
      <c r="H25" s="136"/>
      <c r="I25" s="135">
        <f t="shared" si="10"/>
        <v>10582.81</v>
      </c>
      <c r="J25" s="135">
        <f t="shared" si="11"/>
        <v>7716.62</v>
      </c>
      <c r="K25" s="135">
        <f t="shared" si="2"/>
        <v>18299.43</v>
      </c>
      <c r="L25" s="136"/>
      <c r="M25" s="135">
        <f t="shared" si="3"/>
        <v>1179.0800000000017</v>
      </c>
      <c r="N25" s="137">
        <f t="shared" si="4"/>
        <v>6.8870087352186249E-2</v>
      </c>
      <c r="O25" s="135"/>
      <c r="P25" s="135">
        <f t="shared" si="12"/>
        <v>10770.73</v>
      </c>
      <c r="Q25" s="135">
        <f t="shared" si="13"/>
        <v>7716.62</v>
      </c>
      <c r="R25" s="135">
        <f t="shared" si="5"/>
        <v>18487.349999999999</v>
      </c>
      <c r="S25" s="136"/>
      <c r="T25" s="135">
        <f t="shared" si="14"/>
        <v>187.91999999999825</v>
      </c>
      <c r="U25" s="137">
        <f t="shared" si="15"/>
        <v>1.0269172318481956E-2</v>
      </c>
      <c r="V25" s="17"/>
      <c r="W25" s="135">
        <f t="shared" si="16"/>
        <v>10757.99</v>
      </c>
      <c r="X25" s="135">
        <f t="shared" si="17"/>
        <v>7716.62</v>
      </c>
      <c r="Y25" s="135">
        <f t="shared" si="6"/>
        <v>18474.61</v>
      </c>
      <c r="Z25" s="136"/>
      <c r="AA25" s="135">
        <f t="shared" si="18"/>
        <v>-12.739999999997963</v>
      </c>
      <c r="AB25" s="137">
        <f t="shared" si="19"/>
        <v>-6.8911985763227095E-4</v>
      </c>
      <c r="AC25" s="17"/>
      <c r="AD25" s="37"/>
      <c r="AE25" s="37"/>
      <c r="AF25" s="37"/>
    </row>
    <row r="26" spans="1:32" x14ac:dyDescent="0.3">
      <c r="A26" s="1">
        <f t="shared" si="0"/>
        <v>26</v>
      </c>
      <c r="B26" s="31"/>
      <c r="C26" s="130"/>
      <c r="D26" s="158"/>
      <c r="E26" s="135"/>
      <c r="F26" s="135"/>
      <c r="G26" s="153"/>
      <c r="H26" s="159"/>
      <c r="I26" s="135"/>
      <c r="J26" s="135"/>
      <c r="K26" s="159"/>
      <c r="L26" s="159"/>
      <c r="M26" s="159"/>
      <c r="N26" s="137"/>
      <c r="O26" s="159"/>
      <c r="P26" s="135"/>
      <c r="Q26" s="135"/>
      <c r="R26" s="135"/>
      <c r="S26" s="159"/>
      <c r="T26" s="135"/>
      <c r="U26" s="137"/>
      <c r="V26" s="159"/>
      <c r="W26" s="135"/>
      <c r="X26" s="135"/>
      <c r="Y26" s="135"/>
      <c r="Z26" s="37"/>
      <c r="AA26" s="135"/>
      <c r="AB26" s="137"/>
      <c r="AC26" s="37"/>
      <c r="AD26" s="37"/>
    </row>
    <row r="27" spans="1:32" x14ac:dyDescent="0.3">
      <c r="A27" s="1">
        <f t="shared" si="0"/>
        <v>27</v>
      </c>
      <c r="B27" s="31"/>
      <c r="C27" s="164" t="s">
        <v>126</v>
      </c>
      <c r="D27" s="104">
        <v>390</v>
      </c>
      <c r="E27" s="135"/>
      <c r="F27" s="135"/>
      <c r="G27" s="136"/>
      <c r="H27" s="136"/>
      <c r="I27" s="135"/>
      <c r="J27" s="135"/>
      <c r="K27" s="136"/>
      <c r="L27" s="136"/>
      <c r="M27" s="136"/>
      <c r="N27" s="137"/>
      <c r="O27" s="136"/>
      <c r="P27" s="135"/>
      <c r="Q27" s="135"/>
      <c r="R27" s="135"/>
      <c r="S27" s="136"/>
      <c r="T27" s="135"/>
      <c r="U27" s="137"/>
      <c r="V27" s="136"/>
      <c r="W27" s="135"/>
      <c r="X27" s="135"/>
      <c r="Y27" s="135"/>
      <c r="AA27" s="135"/>
      <c r="AB27" s="137"/>
    </row>
    <row r="28" spans="1:32" x14ac:dyDescent="0.3">
      <c r="A28" s="1">
        <f t="shared" si="0"/>
        <v>28</v>
      </c>
      <c r="B28" s="31"/>
      <c r="C28" s="105">
        <v>75</v>
      </c>
      <c r="D28" s="106">
        <f>C28*$D$27</f>
        <v>29250</v>
      </c>
      <c r="E28" s="135">
        <f t="shared" si="8"/>
        <v>2903.42</v>
      </c>
      <c r="F28" s="135">
        <f t="shared" si="9"/>
        <v>3543.35</v>
      </c>
      <c r="G28" s="135">
        <f t="shared" ref="G28" si="20">SUM(E28:F28)</f>
        <v>6446.77</v>
      </c>
      <c r="H28" s="136"/>
      <c r="I28" s="135">
        <f t="shared" si="10"/>
        <v>3444.83</v>
      </c>
      <c r="J28" s="135">
        <f t="shared" si="11"/>
        <v>3543.35</v>
      </c>
      <c r="K28" s="135">
        <f t="shared" ref="K28:K38" si="21">SUM(I28:J28)</f>
        <v>6988.18</v>
      </c>
      <c r="L28" s="136"/>
      <c r="M28" s="135">
        <f t="shared" ref="M28:M38" si="22">+K28-G28</f>
        <v>541.40999999999985</v>
      </c>
      <c r="N28" s="137">
        <f t="shared" si="4"/>
        <v>8.3981590781119816E-2</v>
      </c>
      <c r="O28" s="135"/>
      <c r="P28" s="135">
        <f t="shared" si="12"/>
        <v>3531.12</v>
      </c>
      <c r="Q28" s="135">
        <f t="shared" si="13"/>
        <v>3543.35</v>
      </c>
      <c r="R28" s="135">
        <f t="shared" si="5"/>
        <v>7074.4699999999993</v>
      </c>
      <c r="S28" s="135"/>
      <c r="T28" s="135">
        <f t="shared" si="14"/>
        <v>86.289999999999054</v>
      </c>
      <c r="U28" s="137">
        <f t="shared" si="15"/>
        <v>1.2347993325872981E-2</v>
      </c>
      <c r="V28" s="135"/>
      <c r="W28" s="135">
        <f t="shared" si="16"/>
        <v>3525.27</v>
      </c>
      <c r="X28" s="135">
        <f t="shared" si="17"/>
        <v>3543.35</v>
      </c>
      <c r="Y28" s="135">
        <f t="shared" si="6"/>
        <v>7068.62</v>
      </c>
      <c r="Z28" s="37"/>
      <c r="AA28" s="135">
        <f t="shared" si="18"/>
        <v>-5.8499999999994543</v>
      </c>
      <c r="AB28" s="137">
        <f t="shared" si="19"/>
        <v>-8.26917069405829E-4</v>
      </c>
      <c r="AC28" s="37"/>
      <c r="AD28" s="37"/>
    </row>
    <row r="29" spans="1:32" x14ac:dyDescent="0.3">
      <c r="A29" s="1">
        <f t="shared" si="0"/>
        <v>29</v>
      </c>
      <c r="B29" s="31"/>
      <c r="C29" s="105">
        <v>100</v>
      </c>
      <c r="D29" s="106">
        <f t="shared" ref="D29:D38" si="23">C29*$D$27</f>
        <v>39000</v>
      </c>
      <c r="E29" s="135">
        <f t="shared" si="8"/>
        <v>3862.22</v>
      </c>
      <c r="F29" s="135">
        <f t="shared" si="9"/>
        <v>4724.46</v>
      </c>
      <c r="G29" s="135">
        <f t="shared" ref="G29:G38" si="24">SUM(E29:F29)</f>
        <v>8586.68</v>
      </c>
      <c r="H29" s="136"/>
      <c r="I29" s="135">
        <f t="shared" si="10"/>
        <v>4584.1099999999997</v>
      </c>
      <c r="J29" s="135">
        <f t="shared" si="11"/>
        <v>4724.46</v>
      </c>
      <c r="K29" s="135">
        <f t="shared" si="21"/>
        <v>9308.57</v>
      </c>
      <c r="L29" s="136"/>
      <c r="M29" s="135">
        <f t="shared" si="22"/>
        <v>721.88999999999942</v>
      </c>
      <c r="N29" s="137">
        <f t="shared" si="4"/>
        <v>8.4070909827779705E-2</v>
      </c>
      <c r="O29" s="135"/>
      <c r="P29" s="135">
        <f t="shared" si="12"/>
        <v>4699.16</v>
      </c>
      <c r="Q29" s="135">
        <f t="shared" si="13"/>
        <v>4724.46</v>
      </c>
      <c r="R29" s="135">
        <f t="shared" si="5"/>
        <v>9423.619999999999</v>
      </c>
      <c r="S29" s="135"/>
      <c r="T29" s="135">
        <f t="shared" si="14"/>
        <v>115.04999999999927</v>
      </c>
      <c r="U29" s="137">
        <f t="shared" si="15"/>
        <v>1.2359578324060438E-2</v>
      </c>
      <c r="V29" s="135"/>
      <c r="W29" s="135">
        <f t="shared" si="16"/>
        <v>4691.3599999999997</v>
      </c>
      <c r="X29" s="135">
        <f t="shared" si="17"/>
        <v>4724.46</v>
      </c>
      <c r="Y29" s="135">
        <f t="shared" si="6"/>
        <v>9415.82</v>
      </c>
      <c r="Z29" s="37"/>
      <c r="AA29" s="135">
        <f t="shared" si="18"/>
        <v>-7.7999999999992724</v>
      </c>
      <c r="AB29" s="137">
        <f t="shared" si="19"/>
        <v>-8.2770739906737258E-4</v>
      </c>
      <c r="AC29" s="37"/>
      <c r="AD29" s="37"/>
    </row>
    <row r="30" spans="1:32" x14ac:dyDescent="0.3">
      <c r="A30" s="1">
        <f t="shared" si="0"/>
        <v>30</v>
      </c>
      <c r="B30" s="31"/>
      <c r="C30" s="105">
        <v>125</v>
      </c>
      <c r="D30" s="106">
        <f t="shared" si="23"/>
        <v>48750</v>
      </c>
      <c r="E30" s="135">
        <f t="shared" si="8"/>
        <v>4821.03</v>
      </c>
      <c r="F30" s="135">
        <f t="shared" si="9"/>
        <v>5905.58</v>
      </c>
      <c r="G30" s="135">
        <f t="shared" si="24"/>
        <v>10726.61</v>
      </c>
      <c r="H30" s="136"/>
      <c r="I30" s="135">
        <f t="shared" si="10"/>
        <v>5723.39</v>
      </c>
      <c r="J30" s="135">
        <f t="shared" si="11"/>
        <v>5905.58</v>
      </c>
      <c r="K30" s="135">
        <f t="shared" si="21"/>
        <v>11628.970000000001</v>
      </c>
      <c r="L30" s="136"/>
      <c r="M30" s="135">
        <f t="shared" si="22"/>
        <v>902.36000000000058</v>
      </c>
      <c r="N30" s="137">
        <f t="shared" si="4"/>
        <v>8.4123502206195674E-2</v>
      </c>
      <c r="O30" s="135"/>
      <c r="P30" s="135">
        <f t="shared" si="12"/>
        <v>5867.2</v>
      </c>
      <c r="Q30" s="135">
        <f t="shared" si="13"/>
        <v>5905.58</v>
      </c>
      <c r="R30" s="135">
        <f t="shared" si="5"/>
        <v>11772.779999999999</v>
      </c>
      <c r="S30" s="135"/>
      <c r="T30" s="135">
        <f t="shared" si="14"/>
        <v>143.80999999999767</v>
      </c>
      <c r="U30" s="137">
        <f t="shared" si="15"/>
        <v>1.2366529451877308E-2</v>
      </c>
      <c r="V30" s="135"/>
      <c r="W30" s="135">
        <f t="shared" si="16"/>
        <v>5857.45</v>
      </c>
      <c r="X30" s="135">
        <f t="shared" si="17"/>
        <v>5905.58</v>
      </c>
      <c r="Y30" s="135">
        <f t="shared" si="6"/>
        <v>11763.029999999999</v>
      </c>
      <c r="Z30" s="37"/>
      <c r="AA30" s="135">
        <f t="shared" si="18"/>
        <v>-9.75</v>
      </c>
      <c r="AB30" s="137">
        <f t="shared" si="19"/>
        <v>-8.281816189549113E-4</v>
      </c>
      <c r="AC30" s="37"/>
      <c r="AD30" s="37"/>
    </row>
    <row r="31" spans="1:32" x14ac:dyDescent="0.3">
      <c r="A31" s="1">
        <f t="shared" si="0"/>
        <v>31</v>
      </c>
      <c r="B31" s="31"/>
      <c r="C31" s="105">
        <v>140</v>
      </c>
      <c r="D31" s="106">
        <f t="shared" si="23"/>
        <v>54600</v>
      </c>
      <c r="E31" s="135">
        <f t="shared" si="8"/>
        <v>5396.31</v>
      </c>
      <c r="F31" s="135">
        <f t="shared" si="9"/>
        <v>6614.24</v>
      </c>
      <c r="G31" s="135">
        <f t="shared" si="24"/>
        <v>12010.55</v>
      </c>
      <c r="H31" s="136"/>
      <c r="I31" s="135">
        <f t="shared" si="10"/>
        <v>6406.95</v>
      </c>
      <c r="J31" s="135">
        <f t="shared" si="11"/>
        <v>6614.24</v>
      </c>
      <c r="K31" s="135">
        <f t="shared" si="21"/>
        <v>13021.189999999999</v>
      </c>
      <c r="L31" s="136"/>
      <c r="M31" s="135">
        <f t="shared" si="22"/>
        <v>1010.6399999999994</v>
      </c>
      <c r="N31" s="137">
        <f t="shared" si="4"/>
        <v>8.4146021622656705E-2</v>
      </c>
      <c r="O31" s="135"/>
      <c r="P31" s="135">
        <f t="shared" si="12"/>
        <v>6568.02</v>
      </c>
      <c r="Q31" s="135">
        <f t="shared" si="13"/>
        <v>6614.24</v>
      </c>
      <c r="R31" s="135">
        <f t="shared" si="5"/>
        <v>13182.26</v>
      </c>
      <c r="S31" s="135"/>
      <c r="T31" s="135">
        <f t="shared" si="14"/>
        <v>161.07000000000153</v>
      </c>
      <c r="U31" s="137">
        <f t="shared" si="15"/>
        <v>1.2369837165420483E-2</v>
      </c>
      <c r="V31" s="135"/>
      <c r="W31" s="135">
        <f t="shared" si="16"/>
        <v>6557.1</v>
      </c>
      <c r="X31" s="135">
        <f t="shared" si="17"/>
        <v>6614.24</v>
      </c>
      <c r="Y31" s="135">
        <f t="shared" si="6"/>
        <v>13171.34</v>
      </c>
      <c r="Z31" s="37"/>
      <c r="AA31" s="135">
        <f t="shared" si="18"/>
        <v>-10.920000000000073</v>
      </c>
      <c r="AB31" s="137">
        <f t="shared" si="19"/>
        <v>-8.2838602788900173E-4</v>
      </c>
      <c r="AC31" s="17"/>
      <c r="AD31" s="37"/>
    </row>
    <row r="32" spans="1:32" x14ac:dyDescent="0.3">
      <c r="A32" s="1">
        <f t="shared" si="0"/>
        <v>32</v>
      </c>
      <c r="B32" s="31"/>
      <c r="C32" s="105">
        <v>160</v>
      </c>
      <c r="D32" s="106">
        <f t="shared" si="23"/>
        <v>62400</v>
      </c>
      <c r="E32" s="135">
        <f>ROUND(IF($C32&lt;=150,$G$90,IF($C32&lt;=300,$G$91,IF($C32&lt;=1000,$G$92,$G$93)))+$C32*$G$94+$D32*$G$95,2)</f>
        <v>6246.35</v>
      </c>
      <c r="F32" s="135">
        <f t="shared" si="9"/>
        <v>7559.14</v>
      </c>
      <c r="G32" s="135">
        <f t="shared" si="24"/>
        <v>13805.490000000002</v>
      </c>
      <c r="H32" s="136"/>
      <c r="I32" s="135">
        <f>ROUND(IF($C32&lt;=150,$I$90,IF($C32&lt;=300,$I$91,IF($C32&lt;=1000,$I$92,$I$93)))+$C32*$I$94+$D32*$I$95,2)</f>
        <v>7401.38</v>
      </c>
      <c r="J32" s="135">
        <f t="shared" si="11"/>
        <v>7559.14</v>
      </c>
      <c r="K32" s="135">
        <f t="shared" si="21"/>
        <v>14960.52</v>
      </c>
      <c r="L32" s="136"/>
      <c r="M32" s="135">
        <f t="shared" si="22"/>
        <v>1155.0299999999988</v>
      </c>
      <c r="N32" s="137">
        <f t="shared" si="4"/>
        <v>8.3664542149536072E-2</v>
      </c>
      <c r="O32" s="135"/>
      <c r="P32" s="135">
        <f t="shared" si="12"/>
        <v>7585.46</v>
      </c>
      <c r="Q32" s="135">
        <f t="shared" si="13"/>
        <v>7559.14</v>
      </c>
      <c r="R32" s="135">
        <f t="shared" si="5"/>
        <v>15144.6</v>
      </c>
      <c r="S32" s="135"/>
      <c r="T32" s="135">
        <f t="shared" si="14"/>
        <v>184.07999999999993</v>
      </c>
      <c r="U32" s="137">
        <f t="shared" si="15"/>
        <v>1.2304385141692931E-2</v>
      </c>
      <c r="V32" s="135"/>
      <c r="W32" s="135">
        <f>ROUND(IF($C32&lt;=150,$K$90,IF($C32&lt;=300,$K$91,IF($C32&lt;=1000,$K$92,$K$93)))+$C32*$K$94+$D32*$K$95,2)</f>
        <v>7572.98</v>
      </c>
      <c r="X32" s="135">
        <f t="shared" si="17"/>
        <v>7559.14</v>
      </c>
      <c r="Y32" s="135">
        <f t="shared" si="6"/>
        <v>15132.119999999999</v>
      </c>
      <c r="Z32" s="37"/>
      <c r="AA32" s="135">
        <f t="shared" si="18"/>
        <v>-12.480000000001382</v>
      </c>
      <c r="AB32" s="137">
        <f t="shared" si="19"/>
        <v>-8.240560992037678E-4</v>
      </c>
      <c r="AC32" s="17"/>
      <c r="AD32" s="37"/>
    </row>
    <row r="33" spans="1:30" x14ac:dyDescent="0.3">
      <c r="A33" s="1">
        <f t="shared" si="0"/>
        <v>33</v>
      </c>
      <c r="B33" s="31"/>
      <c r="C33" s="105">
        <v>200</v>
      </c>
      <c r="D33" s="106">
        <f t="shared" si="23"/>
        <v>78000</v>
      </c>
      <c r="E33" s="135">
        <f t="shared" si="8"/>
        <v>7780.44</v>
      </c>
      <c r="F33" s="135">
        <f>ROUND($D33*$G$96,2)</f>
        <v>9448.92</v>
      </c>
      <c r="G33" s="135">
        <f t="shared" si="24"/>
        <v>17229.36</v>
      </c>
      <c r="H33" s="136"/>
      <c r="I33" s="135">
        <f t="shared" si="10"/>
        <v>9224.2199999999993</v>
      </c>
      <c r="J33" s="135">
        <f>ROUND($D33*$I$96,2)</f>
        <v>9448.92</v>
      </c>
      <c r="K33" s="135">
        <f t="shared" si="21"/>
        <v>18673.14</v>
      </c>
      <c r="L33" s="136"/>
      <c r="M33" s="135">
        <f t="shared" si="22"/>
        <v>1443.7799999999988</v>
      </c>
      <c r="N33" s="137">
        <f t="shared" si="4"/>
        <v>8.3797657022663563E-2</v>
      </c>
      <c r="O33" s="135"/>
      <c r="P33" s="135">
        <f>ROUND(IF($C33&lt;=150,$J$90,IF($C33&lt;=300,$J$91,IF($C33&lt;=1000,$J$92,$J$93)))+$C33*$J$94+$D33*$J$95,2)</f>
        <v>9454.32</v>
      </c>
      <c r="Q33" s="135">
        <f t="shared" si="13"/>
        <v>9448.92</v>
      </c>
      <c r="R33" s="135">
        <f t="shared" si="5"/>
        <v>18903.239999999998</v>
      </c>
      <c r="S33" s="135"/>
      <c r="T33" s="135">
        <f t="shared" si="14"/>
        <v>230.09999999999854</v>
      </c>
      <c r="U33" s="137">
        <f t="shared" si="15"/>
        <v>1.2322512443006294E-2</v>
      </c>
      <c r="V33" s="135"/>
      <c r="W33" s="135">
        <f t="shared" si="16"/>
        <v>9438.7199999999993</v>
      </c>
      <c r="X33" s="135">
        <f t="shared" si="17"/>
        <v>9448.92</v>
      </c>
      <c r="Y33" s="135">
        <f t="shared" si="6"/>
        <v>18887.64</v>
      </c>
      <c r="Z33" s="37"/>
      <c r="AA33" s="135">
        <f t="shared" si="18"/>
        <v>-15.599999999998545</v>
      </c>
      <c r="AB33" s="137">
        <f t="shared" si="19"/>
        <v>-8.2525535305051124E-4</v>
      </c>
      <c r="AC33" s="17"/>
      <c r="AD33" s="37"/>
    </row>
    <row r="34" spans="1:30" x14ac:dyDescent="0.3">
      <c r="A34" s="1">
        <f t="shared" si="0"/>
        <v>34</v>
      </c>
      <c r="B34" s="31"/>
      <c r="C34" s="105">
        <v>230</v>
      </c>
      <c r="D34" s="106">
        <f t="shared" si="23"/>
        <v>89700</v>
      </c>
      <c r="E34" s="135">
        <f t="shared" si="8"/>
        <v>8931.01</v>
      </c>
      <c r="F34" s="135">
        <f t="shared" si="9"/>
        <v>10866.26</v>
      </c>
      <c r="G34" s="135">
        <f t="shared" si="24"/>
        <v>19797.27</v>
      </c>
      <c r="H34" s="136"/>
      <c r="I34" s="135">
        <f t="shared" si="10"/>
        <v>10591.35</v>
      </c>
      <c r="J34" s="135">
        <f t="shared" si="11"/>
        <v>10866.26</v>
      </c>
      <c r="K34" s="135">
        <f t="shared" si="21"/>
        <v>21457.61</v>
      </c>
      <c r="L34" s="136"/>
      <c r="M34" s="135">
        <f t="shared" si="22"/>
        <v>1660.3400000000001</v>
      </c>
      <c r="N34" s="137">
        <f t="shared" si="4"/>
        <v>8.386711905227337E-2</v>
      </c>
      <c r="O34" s="135"/>
      <c r="P34" s="135">
        <f t="shared" si="12"/>
        <v>10855.97</v>
      </c>
      <c r="Q34" s="135">
        <f>ROUND($D34*$J$96,2)</f>
        <v>10866.26</v>
      </c>
      <c r="R34" s="135">
        <f t="shared" si="5"/>
        <v>21722.23</v>
      </c>
      <c r="S34" s="135"/>
      <c r="T34" s="135">
        <f t="shared" si="14"/>
        <v>264.61999999999898</v>
      </c>
      <c r="U34" s="137">
        <f t="shared" si="15"/>
        <v>1.233222152886547E-2</v>
      </c>
      <c r="V34" s="135"/>
      <c r="W34" s="135">
        <f t="shared" si="16"/>
        <v>10838.03</v>
      </c>
      <c r="X34" s="135">
        <f>ROUND($D34*$K$96,2)</f>
        <v>10866.26</v>
      </c>
      <c r="Y34" s="135">
        <f t="shared" si="6"/>
        <v>21704.29</v>
      </c>
      <c r="Z34" s="37"/>
      <c r="AA34" s="135">
        <f t="shared" si="18"/>
        <v>-17.93999999999869</v>
      </c>
      <c r="AB34" s="137">
        <f t="shared" si="19"/>
        <v>-8.2588205722887063E-4</v>
      </c>
      <c r="AC34" s="17"/>
      <c r="AD34" s="37"/>
    </row>
    <row r="35" spans="1:30" x14ac:dyDescent="0.3">
      <c r="A35" s="1">
        <f t="shared" si="0"/>
        <v>35</v>
      </c>
      <c r="B35" s="31"/>
      <c r="C35" s="105">
        <v>300</v>
      </c>
      <c r="D35" s="106">
        <f t="shared" si="23"/>
        <v>117000</v>
      </c>
      <c r="E35" s="135">
        <f t="shared" si="8"/>
        <v>11615.66</v>
      </c>
      <c r="F35" s="135">
        <f t="shared" si="9"/>
        <v>14173.38</v>
      </c>
      <c r="G35" s="135">
        <f t="shared" si="24"/>
        <v>25789.040000000001</v>
      </c>
      <c r="H35" s="136"/>
      <c r="I35" s="135">
        <f t="shared" si="10"/>
        <v>13781.33</v>
      </c>
      <c r="J35" s="135">
        <f t="shared" si="11"/>
        <v>14173.38</v>
      </c>
      <c r="K35" s="135">
        <f t="shared" si="21"/>
        <v>27954.71</v>
      </c>
      <c r="L35" s="136"/>
      <c r="M35" s="135">
        <f t="shared" si="22"/>
        <v>2165.6699999999983</v>
      </c>
      <c r="N35" s="137">
        <f t="shared" si="4"/>
        <v>8.3976371357755E-2</v>
      </c>
      <c r="O35" s="135"/>
      <c r="P35" s="135">
        <f t="shared" si="12"/>
        <v>14126.48</v>
      </c>
      <c r="Q35" s="135">
        <f t="shared" si="13"/>
        <v>14173.38</v>
      </c>
      <c r="R35" s="135">
        <f t="shared" si="5"/>
        <v>28299.86</v>
      </c>
      <c r="S35" s="135"/>
      <c r="T35" s="135">
        <f t="shared" si="14"/>
        <v>345.15000000000146</v>
      </c>
      <c r="U35" s="137">
        <f t="shared" si="15"/>
        <v>1.2346756593075065E-2</v>
      </c>
      <c r="V35" s="135"/>
      <c r="W35" s="135">
        <f t="shared" si="16"/>
        <v>14103.08</v>
      </c>
      <c r="X35" s="135">
        <f t="shared" si="17"/>
        <v>14173.38</v>
      </c>
      <c r="Y35" s="135">
        <f t="shared" si="6"/>
        <v>28276.46</v>
      </c>
      <c r="Z35" s="37"/>
      <c r="AA35" s="135">
        <f t="shared" si="18"/>
        <v>-23.400000000001455</v>
      </c>
      <c r="AB35" s="137">
        <f t="shared" si="19"/>
        <v>-8.268592141445737E-4</v>
      </c>
      <c r="AC35" s="17"/>
      <c r="AD35" s="37"/>
    </row>
    <row r="36" spans="1:30" x14ac:dyDescent="0.3">
      <c r="A36" s="1">
        <f t="shared" si="0"/>
        <v>36</v>
      </c>
      <c r="B36" s="31"/>
      <c r="C36" s="105">
        <v>400</v>
      </c>
      <c r="D36" s="106">
        <f t="shared" si="23"/>
        <v>156000</v>
      </c>
      <c r="E36" s="135">
        <f t="shared" si="8"/>
        <v>15500.88</v>
      </c>
      <c r="F36" s="135">
        <f t="shared" si="9"/>
        <v>18897.84</v>
      </c>
      <c r="G36" s="135">
        <f t="shared" si="24"/>
        <v>34398.720000000001</v>
      </c>
      <c r="H36" s="136"/>
      <c r="I36" s="135">
        <f t="shared" si="10"/>
        <v>18388.439999999999</v>
      </c>
      <c r="J36" s="135">
        <f t="shared" si="11"/>
        <v>18897.84</v>
      </c>
      <c r="K36" s="135">
        <f t="shared" si="21"/>
        <v>37286.28</v>
      </c>
      <c r="L36" s="136"/>
      <c r="M36" s="135">
        <f t="shared" si="22"/>
        <v>2887.5599999999977</v>
      </c>
      <c r="N36" s="137">
        <f t="shared" si="4"/>
        <v>8.3943821165438637E-2</v>
      </c>
      <c r="O36" s="135"/>
      <c r="P36" s="135">
        <f t="shared" si="12"/>
        <v>18848.64</v>
      </c>
      <c r="Q36" s="135">
        <f t="shared" si="13"/>
        <v>18897.84</v>
      </c>
      <c r="R36" s="135">
        <f t="shared" si="5"/>
        <v>37746.479999999996</v>
      </c>
      <c r="S36" s="135"/>
      <c r="T36" s="135">
        <f t="shared" si="14"/>
        <v>460.19999999999709</v>
      </c>
      <c r="U36" s="137">
        <f t="shared" si="15"/>
        <v>1.234234147252011E-2</v>
      </c>
      <c r="V36" s="135"/>
      <c r="W36" s="135">
        <f t="shared" si="16"/>
        <v>18817.439999999999</v>
      </c>
      <c r="X36" s="135">
        <f t="shared" si="17"/>
        <v>18897.84</v>
      </c>
      <c r="Y36" s="135">
        <f t="shared" si="6"/>
        <v>37715.279999999999</v>
      </c>
      <c r="Z36" s="37"/>
      <c r="AA36" s="135">
        <f t="shared" si="18"/>
        <v>-31.19999999999709</v>
      </c>
      <c r="AB36" s="137">
        <f t="shared" si="19"/>
        <v>-8.2656713950538148E-4</v>
      </c>
      <c r="AC36" s="17"/>
      <c r="AD36" s="37"/>
    </row>
    <row r="37" spans="1:30" x14ac:dyDescent="0.3">
      <c r="A37" s="1">
        <f t="shared" si="0"/>
        <v>37</v>
      </c>
      <c r="B37" s="31"/>
      <c r="C37" s="105">
        <v>1100</v>
      </c>
      <c r="D37" s="106">
        <f t="shared" si="23"/>
        <v>429000</v>
      </c>
      <c r="E37" s="135">
        <f t="shared" si="8"/>
        <v>42557.42</v>
      </c>
      <c r="F37" s="135">
        <f t="shared" si="9"/>
        <v>51969.06</v>
      </c>
      <c r="G37" s="135">
        <f t="shared" si="24"/>
        <v>94526.48</v>
      </c>
      <c r="H37" s="136"/>
      <c r="I37" s="135">
        <f t="shared" si="10"/>
        <v>50498.21</v>
      </c>
      <c r="J37" s="135">
        <f t="shared" si="11"/>
        <v>51969.06</v>
      </c>
      <c r="K37" s="135">
        <f t="shared" si="21"/>
        <v>102467.26999999999</v>
      </c>
      <c r="L37" s="136"/>
      <c r="M37" s="135">
        <f t="shared" si="22"/>
        <v>7940.7899999999936</v>
      </c>
      <c r="N37" s="137">
        <f t="shared" si="4"/>
        <v>8.4005984354860078E-2</v>
      </c>
      <c r="O37" s="135"/>
      <c r="P37" s="135">
        <f t="shared" si="12"/>
        <v>51763.76</v>
      </c>
      <c r="Q37" s="135">
        <f t="shared" si="13"/>
        <v>51969.06</v>
      </c>
      <c r="R37" s="135">
        <f t="shared" si="5"/>
        <v>103732.82</v>
      </c>
      <c r="S37" s="135"/>
      <c r="T37" s="135">
        <f t="shared" si="14"/>
        <v>1265.5500000000175</v>
      </c>
      <c r="U37" s="137">
        <f t="shared" si="15"/>
        <v>1.2350773081004476E-2</v>
      </c>
      <c r="V37" s="135"/>
      <c r="W37" s="135">
        <f t="shared" si="16"/>
        <v>51677.96</v>
      </c>
      <c r="X37" s="135">
        <f t="shared" si="17"/>
        <v>51969.06</v>
      </c>
      <c r="Y37" s="135">
        <f t="shared" si="6"/>
        <v>103647.01999999999</v>
      </c>
      <c r="Z37" s="37"/>
      <c r="AA37" s="135">
        <f t="shared" si="18"/>
        <v>-85.800000000017462</v>
      </c>
      <c r="AB37" s="137">
        <f t="shared" si="19"/>
        <v>-8.2712491572115227E-4</v>
      </c>
      <c r="AC37" s="17"/>
      <c r="AD37" s="37"/>
    </row>
    <row r="38" spans="1:30" x14ac:dyDescent="0.3">
      <c r="A38" s="1">
        <f t="shared" si="0"/>
        <v>38</v>
      </c>
      <c r="B38" s="31" t="s">
        <v>52</v>
      </c>
      <c r="C38" s="106">
        <v>285</v>
      </c>
      <c r="D38" s="106">
        <f t="shared" si="23"/>
        <v>111150</v>
      </c>
      <c r="E38" s="135">
        <f t="shared" si="8"/>
        <v>11040.38</v>
      </c>
      <c r="F38" s="135">
        <f t="shared" si="9"/>
        <v>13464.71</v>
      </c>
      <c r="G38" s="135">
        <f t="shared" si="24"/>
        <v>24505.089999999997</v>
      </c>
      <c r="H38" s="136"/>
      <c r="I38" s="135">
        <f t="shared" si="10"/>
        <v>13097.76</v>
      </c>
      <c r="J38" s="135">
        <f t="shared" si="11"/>
        <v>13464.71</v>
      </c>
      <c r="K38" s="135">
        <f t="shared" si="21"/>
        <v>26562.47</v>
      </c>
      <c r="L38" s="136"/>
      <c r="M38" s="135">
        <f t="shared" si="22"/>
        <v>2057.3800000000047</v>
      </c>
      <c r="N38" s="137">
        <f t="shared" si="4"/>
        <v>8.3957251330234045E-2</v>
      </c>
      <c r="O38" s="135"/>
      <c r="P38" s="135">
        <f t="shared" si="12"/>
        <v>13425.66</v>
      </c>
      <c r="Q38" s="135">
        <f t="shared" si="13"/>
        <v>13464.71</v>
      </c>
      <c r="R38" s="135">
        <f t="shared" si="5"/>
        <v>26890.37</v>
      </c>
      <c r="S38" s="135"/>
      <c r="T38" s="135">
        <f t="shared" si="14"/>
        <v>327.89999999999782</v>
      </c>
      <c r="U38" s="137">
        <f t="shared" si="15"/>
        <v>1.2344484530241269E-2</v>
      </c>
      <c r="V38" s="135"/>
      <c r="W38" s="135">
        <f t="shared" si="16"/>
        <v>13403.43</v>
      </c>
      <c r="X38" s="135">
        <f t="shared" si="17"/>
        <v>13464.71</v>
      </c>
      <c r="Y38" s="135">
        <f t="shared" si="6"/>
        <v>26868.14</v>
      </c>
      <c r="Z38" s="37"/>
      <c r="AA38" s="135">
        <f t="shared" si="18"/>
        <v>-22.229999999999563</v>
      </c>
      <c r="AB38" s="137">
        <f t="shared" si="19"/>
        <v>-8.2669000091852821E-4</v>
      </c>
      <c r="AC38" s="17"/>
      <c r="AD38" s="37"/>
    </row>
    <row r="39" spans="1:30" x14ac:dyDescent="0.3">
      <c r="A39" s="1">
        <f t="shared" si="0"/>
        <v>39</v>
      </c>
      <c r="B39" s="31"/>
      <c r="C39" s="130"/>
      <c r="D39" s="158"/>
      <c r="E39" s="135"/>
      <c r="F39" s="135"/>
      <c r="G39" s="153"/>
      <c r="H39" s="159"/>
      <c r="I39" s="135"/>
      <c r="J39" s="135"/>
      <c r="K39" s="159"/>
      <c r="L39" s="159"/>
      <c r="M39" s="159"/>
      <c r="N39" s="137"/>
      <c r="O39" s="159"/>
      <c r="P39" s="135"/>
      <c r="Q39" s="135"/>
      <c r="R39" s="135"/>
      <c r="S39" s="159"/>
      <c r="T39" s="135"/>
      <c r="U39" s="137"/>
      <c r="V39" s="159"/>
      <c r="W39" s="135"/>
      <c r="X39" s="135"/>
      <c r="Y39" s="135"/>
      <c r="Z39" s="37"/>
      <c r="AA39" s="135"/>
      <c r="AB39" s="137"/>
      <c r="AC39" s="188"/>
      <c r="AD39" s="37"/>
    </row>
    <row r="40" spans="1:30" x14ac:dyDescent="0.3">
      <c r="A40" s="1">
        <f t="shared" si="0"/>
        <v>40</v>
      </c>
      <c r="B40" s="31"/>
      <c r="C40" s="164" t="s">
        <v>126</v>
      </c>
      <c r="D40" s="104">
        <v>535</v>
      </c>
      <c r="E40" s="135"/>
      <c r="F40" s="135"/>
      <c r="G40" s="136"/>
      <c r="H40" s="136"/>
      <c r="I40" s="135"/>
      <c r="J40" s="135"/>
      <c r="K40" s="136"/>
      <c r="L40" s="136"/>
      <c r="M40" s="136"/>
      <c r="N40" s="137"/>
      <c r="O40" s="136"/>
      <c r="P40" s="135"/>
      <c r="Q40" s="135"/>
      <c r="R40" s="135"/>
      <c r="S40" s="136"/>
      <c r="T40" s="135"/>
      <c r="U40" s="137"/>
      <c r="V40" s="136"/>
      <c r="W40" s="135"/>
      <c r="X40" s="135"/>
      <c r="Y40" s="135"/>
      <c r="Z40" s="37"/>
      <c r="AA40" s="135"/>
      <c r="AB40" s="137"/>
      <c r="AC40" s="188"/>
      <c r="AD40" s="37"/>
    </row>
    <row r="41" spans="1:30" x14ac:dyDescent="0.3">
      <c r="A41" s="1">
        <f t="shared" si="0"/>
        <v>41</v>
      </c>
      <c r="B41" s="31"/>
      <c r="C41" s="105">
        <v>80</v>
      </c>
      <c r="D41" s="106">
        <f>C41*$D$40</f>
        <v>42800</v>
      </c>
      <c r="E41" s="135">
        <f t="shared" si="8"/>
        <v>3303.74</v>
      </c>
      <c r="F41" s="135">
        <f t="shared" si="9"/>
        <v>5184.79</v>
      </c>
      <c r="G41" s="135">
        <f t="shared" ref="G41:G51" si="25">SUM(E41:F41)</f>
        <v>8488.5299999999988</v>
      </c>
      <c r="H41" s="136"/>
      <c r="I41" s="135">
        <f t="shared" si="10"/>
        <v>4095.97</v>
      </c>
      <c r="J41" s="135">
        <f t="shared" si="11"/>
        <v>5184.79</v>
      </c>
      <c r="K41" s="135">
        <f t="shared" ref="K41:K51" si="26">SUM(I41:J41)</f>
        <v>9280.76</v>
      </c>
      <c r="L41" s="136"/>
      <c r="M41" s="135">
        <f t="shared" ref="M41:M51" si="27">+K41-G41</f>
        <v>792.23000000000138</v>
      </c>
      <c r="N41" s="137">
        <f t="shared" si="4"/>
        <v>9.3329469295626161E-2</v>
      </c>
      <c r="O41" s="135"/>
      <c r="P41" s="135">
        <f t="shared" si="12"/>
        <v>4222.2299999999996</v>
      </c>
      <c r="Q41" s="135">
        <f t="shared" si="13"/>
        <v>5184.79</v>
      </c>
      <c r="R41" s="135">
        <f t="shared" si="5"/>
        <v>9407.02</v>
      </c>
      <c r="S41" s="135"/>
      <c r="T41" s="135">
        <f t="shared" si="14"/>
        <v>126.26000000000022</v>
      </c>
      <c r="U41" s="137">
        <f t="shared" si="15"/>
        <v>1.3604489287515269E-2</v>
      </c>
      <c r="V41" s="135"/>
      <c r="W41" s="135">
        <f t="shared" si="16"/>
        <v>4213.67</v>
      </c>
      <c r="X41" s="135">
        <f t="shared" si="17"/>
        <v>5184.79</v>
      </c>
      <c r="Y41" s="135">
        <f t="shared" si="6"/>
        <v>9398.4599999999991</v>
      </c>
      <c r="Z41" s="37"/>
      <c r="AA41" s="135">
        <f t="shared" si="18"/>
        <v>-8.5600000000013097</v>
      </c>
      <c r="AB41" s="137">
        <f t="shared" si="19"/>
        <v>-9.0995873294638576E-4</v>
      </c>
      <c r="AC41" s="17"/>
      <c r="AD41" s="37"/>
    </row>
    <row r="42" spans="1:30" x14ac:dyDescent="0.3">
      <c r="A42" s="1">
        <f t="shared" si="0"/>
        <v>42</v>
      </c>
      <c r="B42" s="31"/>
      <c r="C42" s="105">
        <v>110</v>
      </c>
      <c r="D42" s="106">
        <f t="shared" ref="D42:D51" si="28">C42*$D$40</f>
        <v>58850</v>
      </c>
      <c r="E42" s="135">
        <f t="shared" si="8"/>
        <v>4532.5200000000004</v>
      </c>
      <c r="F42" s="135">
        <f t="shared" si="9"/>
        <v>7129.09</v>
      </c>
      <c r="G42" s="135">
        <f t="shared" si="25"/>
        <v>11661.61</v>
      </c>
      <c r="H42" s="136"/>
      <c r="I42" s="135">
        <f t="shared" si="10"/>
        <v>5621.84</v>
      </c>
      <c r="J42" s="135">
        <f t="shared" si="11"/>
        <v>7129.09</v>
      </c>
      <c r="K42" s="135">
        <f t="shared" si="26"/>
        <v>12750.93</v>
      </c>
      <c r="L42" s="136"/>
      <c r="M42" s="135">
        <f t="shared" si="27"/>
        <v>1089.3199999999997</v>
      </c>
      <c r="N42" s="137">
        <f t="shared" si="4"/>
        <v>9.3410772612014956E-2</v>
      </c>
      <c r="O42" s="135"/>
      <c r="P42" s="135">
        <f t="shared" si="12"/>
        <v>5795.44</v>
      </c>
      <c r="Q42" s="135">
        <f t="shared" si="13"/>
        <v>7129.09</v>
      </c>
      <c r="R42" s="135">
        <f t="shared" si="5"/>
        <v>12924.529999999999</v>
      </c>
      <c r="S42" s="135"/>
      <c r="T42" s="135">
        <f t="shared" si="14"/>
        <v>173.59999999999854</v>
      </c>
      <c r="U42" s="137">
        <f t="shared" si="15"/>
        <v>1.3614693202770194E-2</v>
      </c>
      <c r="V42" s="135"/>
      <c r="W42" s="135">
        <f t="shared" si="16"/>
        <v>5783.67</v>
      </c>
      <c r="X42" s="135">
        <f t="shared" si="17"/>
        <v>7129.09</v>
      </c>
      <c r="Y42" s="135">
        <f t="shared" si="6"/>
        <v>12912.76</v>
      </c>
      <c r="Z42" s="37"/>
      <c r="AA42" s="135">
        <f t="shared" si="18"/>
        <v>-11.769999999998618</v>
      </c>
      <c r="AB42" s="137">
        <f t="shared" si="19"/>
        <v>-9.106714131963498E-4</v>
      </c>
      <c r="AC42" s="17"/>
      <c r="AD42" s="37"/>
    </row>
    <row r="43" spans="1:30" x14ac:dyDescent="0.3">
      <c r="A43" s="1">
        <f t="shared" si="0"/>
        <v>43</v>
      </c>
      <c r="B43" s="31"/>
      <c r="C43" s="105">
        <v>135</v>
      </c>
      <c r="D43" s="106">
        <f t="shared" si="28"/>
        <v>72225</v>
      </c>
      <c r="E43" s="135">
        <f t="shared" si="8"/>
        <v>5556.51</v>
      </c>
      <c r="F43" s="135">
        <f t="shared" si="9"/>
        <v>8749.34</v>
      </c>
      <c r="G43" s="135">
        <f t="shared" si="25"/>
        <v>14305.85</v>
      </c>
      <c r="H43" s="136"/>
      <c r="I43" s="135">
        <f t="shared" si="10"/>
        <v>6893.39</v>
      </c>
      <c r="J43" s="135">
        <f t="shared" si="11"/>
        <v>8749.34</v>
      </c>
      <c r="K43" s="135">
        <f t="shared" si="26"/>
        <v>15642.73</v>
      </c>
      <c r="L43" s="136"/>
      <c r="M43" s="135">
        <f t="shared" si="27"/>
        <v>1336.8799999999992</v>
      </c>
      <c r="N43" s="137">
        <f t="shared" si="4"/>
        <v>9.344988239077015E-2</v>
      </c>
      <c r="O43" s="135"/>
      <c r="P43" s="135">
        <f t="shared" si="12"/>
        <v>7106.45</v>
      </c>
      <c r="Q43" s="135">
        <f t="shared" si="13"/>
        <v>8749.34</v>
      </c>
      <c r="R43" s="135">
        <f t="shared" si="5"/>
        <v>15855.79</v>
      </c>
      <c r="S43" s="135"/>
      <c r="T43" s="135">
        <f t="shared" si="14"/>
        <v>213.06000000000131</v>
      </c>
      <c r="U43" s="137">
        <f t="shared" si="15"/>
        <v>1.3620384677099286E-2</v>
      </c>
      <c r="V43" s="135"/>
      <c r="W43" s="135">
        <f t="shared" si="16"/>
        <v>7092.01</v>
      </c>
      <c r="X43" s="135">
        <f t="shared" si="17"/>
        <v>8749.34</v>
      </c>
      <c r="Y43" s="135">
        <f t="shared" si="6"/>
        <v>15841.35</v>
      </c>
      <c r="Z43" s="37"/>
      <c r="AA43" s="135">
        <f t="shared" si="18"/>
        <v>-14.440000000000509</v>
      </c>
      <c r="AB43" s="137">
        <f t="shared" si="19"/>
        <v>-9.1070832799882622E-4</v>
      </c>
      <c r="AC43" s="17"/>
      <c r="AD43" s="37"/>
    </row>
    <row r="44" spans="1:30" x14ac:dyDescent="0.3">
      <c r="A44" s="1">
        <f t="shared" si="0"/>
        <v>44</v>
      </c>
      <c r="B44" s="31"/>
      <c r="C44" s="105">
        <v>160</v>
      </c>
      <c r="D44" s="106">
        <f t="shared" si="28"/>
        <v>85600</v>
      </c>
      <c r="E44" s="135">
        <f t="shared" si="8"/>
        <v>6663.49</v>
      </c>
      <c r="F44" s="135">
        <f t="shared" si="9"/>
        <v>10369.58</v>
      </c>
      <c r="G44" s="135">
        <f t="shared" si="25"/>
        <v>17033.07</v>
      </c>
      <c r="H44" s="136"/>
      <c r="I44" s="135">
        <f t="shared" si="10"/>
        <v>8247.94</v>
      </c>
      <c r="J44" s="135">
        <f>ROUND($D44*$I$96,2)</f>
        <v>10369.58</v>
      </c>
      <c r="K44" s="135">
        <f t="shared" si="26"/>
        <v>18617.52</v>
      </c>
      <c r="L44" s="136"/>
      <c r="M44" s="135">
        <f t="shared" si="27"/>
        <v>1584.4500000000007</v>
      </c>
      <c r="N44" s="137">
        <f t="shared" si="4"/>
        <v>9.3021986054187572E-2</v>
      </c>
      <c r="O44" s="135"/>
      <c r="P44" s="135">
        <f t="shared" si="12"/>
        <v>8500.4599999999991</v>
      </c>
      <c r="Q44" s="135">
        <f t="shared" si="13"/>
        <v>10369.58</v>
      </c>
      <c r="R44" s="135">
        <f t="shared" si="5"/>
        <v>18870.04</v>
      </c>
      <c r="S44" s="135"/>
      <c r="T44" s="135">
        <f t="shared" si="14"/>
        <v>252.52000000000044</v>
      </c>
      <c r="U44" s="137">
        <f t="shared" si="15"/>
        <v>1.3563568079959116E-2</v>
      </c>
      <c r="V44" s="135"/>
      <c r="W44" s="135">
        <f t="shared" si="16"/>
        <v>8483.34</v>
      </c>
      <c r="X44" s="135">
        <f t="shared" si="17"/>
        <v>10369.58</v>
      </c>
      <c r="Y44" s="135">
        <f t="shared" si="6"/>
        <v>18852.919999999998</v>
      </c>
      <c r="Z44" s="37"/>
      <c r="AA44" s="135">
        <f t="shared" si="18"/>
        <v>-17.120000000002619</v>
      </c>
      <c r="AB44" s="137">
        <f t="shared" si="19"/>
        <v>-9.0725827820198682E-4</v>
      </c>
      <c r="AC44" s="17"/>
      <c r="AD44" s="37"/>
    </row>
    <row r="45" spans="1:30" x14ac:dyDescent="0.3">
      <c r="A45" s="1">
        <f t="shared" si="0"/>
        <v>45</v>
      </c>
      <c r="B45" s="31"/>
      <c r="C45" s="105">
        <v>190</v>
      </c>
      <c r="D45" s="106">
        <f t="shared" si="28"/>
        <v>101650</v>
      </c>
      <c r="E45" s="135">
        <f t="shared" si="8"/>
        <v>7892.27</v>
      </c>
      <c r="F45" s="135">
        <f t="shared" si="9"/>
        <v>12313.88</v>
      </c>
      <c r="G45" s="135">
        <f t="shared" si="25"/>
        <v>20206.150000000001</v>
      </c>
      <c r="H45" s="136"/>
      <c r="I45" s="135">
        <f t="shared" si="10"/>
        <v>9773.81</v>
      </c>
      <c r="J45" s="135">
        <f t="shared" si="11"/>
        <v>12313.88</v>
      </c>
      <c r="K45" s="135">
        <f t="shared" si="26"/>
        <v>22087.69</v>
      </c>
      <c r="L45" s="136"/>
      <c r="M45" s="135">
        <f t="shared" si="27"/>
        <v>1881.5399999999972</v>
      </c>
      <c r="N45" s="137">
        <f t="shared" si="4"/>
        <v>9.3117194517510618E-2</v>
      </c>
      <c r="O45" s="135"/>
      <c r="P45" s="135">
        <f>ROUND(IF($C45&lt;=150,$J$90,IF($C45&lt;=300,$J$91,IF($C45&lt;=1000,$J$92,$J$93)))+$C45*$J$94+$D45*$J$95,2)</f>
        <v>10073.68</v>
      </c>
      <c r="Q45" s="135">
        <f t="shared" si="13"/>
        <v>12313.88</v>
      </c>
      <c r="R45" s="135">
        <f t="shared" si="5"/>
        <v>22387.559999999998</v>
      </c>
      <c r="S45" s="135"/>
      <c r="T45" s="135">
        <f t="shared" si="14"/>
        <v>299.86999999999898</v>
      </c>
      <c r="U45" s="137">
        <f t="shared" si="15"/>
        <v>1.357634048648813E-2</v>
      </c>
      <c r="V45" s="135"/>
      <c r="W45" s="135">
        <f t="shared" si="16"/>
        <v>10053.35</v>
      </c>
      <c r="X45" s="135">
        <f t="shared" si="17"/>
        <v>12313.88</v>
      </c>
      <c r="Y45" s="135">
        <f t="shared" si="6"/>
        <v>22367.23</v>
      </c>
      <c r="Z45" s="37"/>
      <c r="AA45" s="135">
        <f t="shared" si="18"/>
        <v>-20.329999999998108</v>
      </c>
      <c r="AB45" s="137">
        <f t="shared" si="19"/>
        <v>-9.0809360198244513E-4</v>
      </c>
      <c r="AC45" s="17"/>
      <c r="AD45" s="37"/>
    </row>
    <row r="46" spans="1:30" x14ac:dyDescent="0.3">
      <c r="A46" s="1">
        <f t="shared" si="0"/>
        <v>46</v>
      </c>
      <c r="B46" s="31"/>
      <c r="C46" s="105">
        <v>230</v>
      </c>
      <c r="D46" s="106">
        <f t="shared" si="28"/>
        <v>123050</v>
      </c>
      <c r="E46" s="135">
        <f t="shared" si="8"/>
        <v>9530.64</v>
      </c>
      <c r="F46" s="135">
        <f>ROUND($D46*$G$96,2)</f>
        <v>14906.28</v>
      </c>
      <c r="G46" s="135">
        <f t="shared" si="25"/>
        <v>24436.92</v>
      </c>
      <c r="H46" s="136"/>
      <c r="I46" s="135">
        <f>ROUND(IF($C46&lt;=150,$I$90,IF($C46&lt;=300,$I$91,IF($C46&lt;=1000,$I$92,$I$93)))+$C46*$I$94+$D46*$I$95,2)</f>
        <v>11808.29</v>
      </c>
      <c r="J46" s="135">
        <f t="shared" si="11"/>
        <v>14906.28</v>
      </c>
      <c r="K46" s="135">
        <f t="shared" si="26"/>
        <v>26714.57</v>
      </c>
      <c r="L46" s="136"/>
      <c r="M46" s="135">
        <f t="shared" si="27"/>
        <v>2277.6500000000015</v>
      </c>
      <c r="N46" s="137">
        <f t="shared" si="4"/>
        <v>9.3205281189282507E-2</v>
      </c>
      <c r="O46" s="135"/>
      <c r="P46" s="135">
        <f t="shared" si="12"/>
        <v>12171.29</v>
      </c>
      <c r="Q46" s="135">
        <f>ROUND($D46*$J$96,2)</f>
        <v>14906.28</v>
      </c>
      <c r="R46" s="135">
        <f t="shared" si="5"/>
        <v>27077.57</v>
      </c>
      <c r="S46" s="135"/>
      <c r="T46" s="135">
        <f t="shared" si="14"/>
        <v>363</v>
      </c>
      <c r="U46" s="137">
        <f t="shared" si="15"/>
        <v>1.358809069358032E-2</v>
      </c>
      <c r="V46" s="135"/>
      <c r="W46" s="135">
        <f>ROUND(IF($C46&lt;=150,$K$90,IF($C46&lt;=300,$K$91,IF($C46&lt;=1000,$K$92,$K$93)))+$C46*$K$94+$D46*$K$95,2)</f>
        <v>12146.68</v>
      </c>
      <c r="X46" s="135">
        <f t="shared" si="17"/>
        <v>14906.28</v>
      </c>
      <c r="Y46" s="135">
        <f t="shared" si="6"/>
        <v>27052.959999999999</v>
      </c>
      <c r="Z46" s="37"/>
      <c r="AA46" s="135">
        <f t="shared" si="18"/>
        <v>-24.610000000000582</v>
      </c>
      <c r="AB46" s="137">
        <f t="shared" si="19"/>
        <v>-9.0887033068331395E-4</v>
      </c>
      <c r="AC46" s="17"/>
      <c r="AD46" s="37"/>
    </row>
    <row r="47" spans="1:30" x14ac:dyDescent="0.3">
      <c r="A47" s="1">
        <f t="shared" si="0"/>
        <v>47</v>
      </c>
      <c r="B47" s="31"/>
      <c r="C47" s="105">
        <v>290</v>
      </c>
      <c r="D47" s="106">
        <f t="shared" si="28"/>
        <v>155150</v>
      </c>
      <c r="E47" s="135">
        <f>ROUND(IF($C47&lt;=150,$G$90,IF($C47&lt;=300,$G$91,IF($C47&lt;=1000,$G$92,$G$93)))+$C47*$G$94+$D47*$G$95,2)</f>
        <v>11988.2</v>
      </c>
      <c r="F47" s="135">
        <f t="shared" si="9"/>
        <v>18794.87</v>
      </c>
      <c r="G47" s="135">
        <f t="shared" si="25"/>
        <v>30783.07</v>
      </c>
      <c r="H47" s="136"/>
      <c r="I47" s="135">
        <f t="shared" si="10"/>
        <v>14860.02</v>
      </c>
      <c r="J47" s="135">
        <f t="shared" si="11"/>
        <v>18794.87</v>
      </c>
      <c r="K47" s="135">
        <f t="shared" si="26"/>
        <v>33654.89</v>
      </c>
      <c r="L47" s="136"/>
      <c r="M47" s="135">
        <f t="shared" si="27"/>
        <v>2871.8199999999997</v>
      </c>
      <c r="N47" s="137">
        <f t="shared" si="4"/>
        <v>9.3292189505465167E-2</v>
      </c>
      <c r="O47" s="135"/>
      <c r="P47" s="135">
        <f t="shared" si="12"/>
        <v>15317.72</v>
      </c>
      <c r="Q47" s="135">
        <f t="shared" si="13"/>
        <v>18794.87</v>
      </c>
      <c r="R47" s="135">
        <f t="shared" si="5"/>
        <v>34112.589999999997</v>
      </c>
      <c r="S47" s="135"/>
      <c r="T47" s="135">
        <f t="shared" si="14"/>
        <v>457.69999999999709</v>
      </c>
      <c r="U47" s="137">
        <f t="shared" si="15"/>
        <v>1.3599806744279868E-2</v>
      </c>
      <c r="V47" s="135"/>
      <c r="W47" s="135">
        <f t="shared" si="16"/>
        <v>15286.69</v>
      </c>
      <c r="X47" s="135">
        <f>ROUND($D47*$K$96,2)</f>
        <v>18794.87</v>
      </c>
      <c r="Y47" s="135">
        <f t="shared" si="6"/>
        <v>34081.56</v>
      </c>
      <c r="Z47" s="37"/>
      <c r="AA47" s="135">
        <f t="shared" si="18"/>
        <v>-31.029999999998836</v>
      </c>
      <c r="AB47" s="137">
        <f t="shared" si="19"/>
        <v>-9.0963482983845087E-4</v>
      </c>
      <c r="AC47" s="17"/>
      <c r="AD47" s="37"/>
    </row>
    <row r="48" spans="1:30" x14ac:dyDescent="0.3">
      <c r="A48" s="1">
        <f t="shared" si="0"/>
        <v>48</v>
      </c>
      <c r="B48" s="31"/>
      <c r="C48" s="105">
        <v>360</v>
      </c>
      <c r="D48" s="106">
        <f t="shared" si="28"/>
        <v>192600</v>
      </c>
      <c r="E48" s="135">
        <f t="shared" si="8"/>
        <v>14905.35</v>
      </c>
      <c r="F48" s="135">
        <f t="shared" si="9"/>
        <v>23331.56</v>
      </c>
      <c r="G48" s="135">
        <f t="shared" si="25"/>
        <v>38236.910000000003</v>
      </c>
      <c r="H48" s="136"/>
      <c r="I48" s="135">
        <f t="shared" si="10"/>
        <v>18470.37</v>
      </c>
      <c r="J48" s="135">
        <f t="shared" si="11"/>
        <v>23331.56</v>
      </c>
      <c r="K48" s="135">
        <f t="shared" si="26"/>
        <v>41801.93</v>
      </c>
      <c r="L48" s="136"/>
      <c r="M48" s="135">
        <f t="shared" si="27"/>
        <v>3565.0199999999968</v>
      </c>
      <c r="N48" s="137">
        <f t="shared" si="4"/>
        <v>9.3235044358971383E-2</v>
      </c>
      <c r="O48" s="135"/>
      <c r="P48" s="135">
        <f t="shared" si="12"/>
        <v>19038.54</v>
      </c>
      <c r="Q48" s="135">
        <f t="shared" si="13"/>
        <v>23331.56</v>
      </c>
      <c r="R48" s="135">
        <f t="shared" si="5"/>
        <v>42370.100000000006</v>
      </c>
      <c r="S48" s="135"/>
      <c r="T48" s="135">
        <f t="shared" si="14"/>
        <v>568.17000000000553</v>
      </c>
      <c r="U48" s="137">
        <f t="shared" si="15"/>
        <v>1.3591956160875957E-2</v>
      </c>
      <c r="V48" s="135"/>
      <c r="W48" s="135">
        <f t="shared" si="16"/>
        <v>19000.02</v>
      </c>
      <c r="X48" s="135">
        <f t="shared" si="17"/>
        <v>23331.56</v>
      </c>
      <c r="Y48" s="135">
        <f t="shared" si="6"/>
        <v>42331.58</v>
      </c>
      <c r="Z48" s="37"/>
      <c r="AA48" s="135">
        <f t="shared" si="18"/>
        <v>-38.520000000004075</v>
      </c>
      <c r="AB48" s="137">
        <f t="shared" si="19"/>
        <v>-9.0913167540326953E-4</v>
      </c>
      <c r="AC48" s="17"/>
      <c r="AD48" s="37"/>
    </row>
    <row r="49" spans="1:30" x14ac:dyDescent="0.3">
      <c r="A49" s="1">
        <f t="shared" si="0"/>
        <v>49</v>
      </c>
      <c r="B49" s="31"/>
      <c r="C49" s="105">
        <v>500</v>
      </c>
      <c r="D49" s="106">
        <f t="shared" si="28"/>
        <v>267500</v>
      </c>
      <c r="E49" s="135">
        <f t="shared" si="8"/>
        <v>20639.650000000001</v>
      </c>
      <c r="F49" s="135">
        <f t="shared" si="9"/>
        <v>32404.95</v>
      </c>
      <c r="G49" s="135">
        <f t="shared" si="25"/>
        <v>53044.600000000006</v>
      </c>
      <c r="H49" s="136"/>
      <c r="I49" s="135">
        <f t="shared" si="10"/>
        <v>25591.08</v>
      </c>
      <c r="J49" s="135">
        <f t="shared" si="11"/>
        <v>32404.95</v>
      </c>
      <c r="K49" s="135">
        <f t="shared" si="26"/>
        <v>57996.03</v>
      </c>
      <c r="L49" s="136"/>
      <c r="M49" s="135">
        <f t="shared" si="27"/>
        <v>4951.429999999993</v>
      </c>
      <c r="N49" s="137">
        <f t="shared" si="4"/>
        <v>9.3344657137578418E-2</v>
      </c>
      <c r="O49" s="135"/>
      <c r="P49" s="135">
        <f t="shared" si="12"/>
        <v>26380.2</v>
      </c>
      <c r="Q49" s="135">
        <f t="shared" si="13"/>
        <v>32404.95</v>
      </c>
      <c r="R49" s="135">
        <f t="shared" si="5"/>
        <v>58785.15</v>
      </c>
      <c r="S49" s="135"/>
      <c r="T49" s="135">
        <f t="shared" si="14"/>
        <v>789.12000000000262</v>
      </c>
      <c r="U49" s="137">
        <f t="shared" si="15"/>
        <v>1.3606448579325216E-2</v>
      </c>
      <c r="V49" s="135"/>
      <c r="W49" s="135">
        <f t="shared" si="16"/>
        <v>26326.7</v>
      </c>
      <c r="X49" s="135">
        <f t="shared" si="17"/>
        <v>32404.95</v>
      </c>
      <c r="Y49" s="135">
        <f t="shared" si="6"/>
        <v>58731.65</v>
      </c>
      <c r="Z49" s="37"/>
      <c r="AA49" s="135">
        <f t="shared" si="18"/>
        <v>-53.5</v>
      </c>
      <c r="AB49" s="137">
        <f t="shared" si="19"/>
        <v>-9.1009379069373808E-4</v>
      </c>
      <c r="AC49" s="17"/>
      <c r="AD49" s="37"/>
    </row>
    <row r="50" spans="1:30" x14ac:dyDescent="0.3">
      <c r="A50" s="1">
        <f t="shared" si="0"/>
        <v>50</v>
      </c>
      <c r="B50" s="31"/>
      <c r="C50" s="105">
        <v>1000</v>
      </c>
      <c r="D50" s="106">
        <f t="shared" si="28"/>
        <v>535000</v>
      </c>
      <c r="E50" s="135">
        <f t="shared" si="8"/>
        <v>41119.300000000003</v>
      </c>
      <c r="F50" s="135">
        <f t="shared" si="9"/>
        <v>64809.9</v>
      </c>
      <c r="G50" s="135">
        <f t="shared" si="25"/>
        <v>105929.20000000001</v>
      </c>
      <c r="H50" s="136"/>
      <c r="I50" s="135">
        <f t="shared" si="10"/>
        <v>51022.15</v>
      </c>
      <c r="J50" s="135">
        <f t="shared" si="11"/>
        <v>64809.9</v>
      </c>
      <c r="K50" s="135">
        <f t="shared" si="26"/>
        <v>115832.05</v>
      </c>
      <c r="L50" s="136"/>
      <c r="M50" s="135">
        <f t="shared" si="27"/>
        <v>9902.8499999999913</v>
      </c>
      <c r="N50" s="137">
        <f t="shared" si="4"/>
        <v>9.3485554502441157E-2</v>
      </c>
      <c r="O50" s="135"/>
      <c r="P50" s="135">
        <f t="shared" si="12"/>
        <v>52600.4</v>
      </c>
      <c r="Q50" s="135">
        <f t="shared" si="13"/>
        <v>64809.9</v>
      </c>
      <c r="R50" s="135">
        <f t="shared" si="5"/>
        <v>117410.3</v>
      </c>
      <c r="S50" s="135"/>
      <c r="T50" s="135">
        <f t="shared" si="14"/>
        <v>1578.25</v>
      </c>
      <c r="U50" s="137">
        <f t="shared" si="15"/>
        <v>1.3625330813017641E-2</v>
      </c>
      <c r="V50" s="135"/>
      <c r="W50" s="135">
        <f t="shared" si="16"/>
        <v>52493.4</v>
      </c>
      <c r="X50" s="135">
        <f t="shared" si="17"/>
        <v>64809.9</v>
      </c>
      <c r="Y50" s="135">
        <f t="shared" si="6"/>
        <v>117303.3</v>
      </c>
      <c r="Z50" s="37"/>
      <c r="AA50" s="135">
        <f t="shared" si="18"/>
        <v>-107</v>
      </c>
      <c r="AB50" s="137">
        <f t="shared" si="19"/>
        <v>-9.1133401413674947E-4</v>
      </c>
      <c r="AC50" s="17"/>
      <c r="AD50" s="37"/>
    </row>
    <row r="51" spans="1:30" x14ac:dyDescent="0.3">
      <c r="A51" s="1">
        <f t="shared" si="0"/>
        <v>51</v>
      </c>
      <c r="B51" s="31" t="s">
        <v>52</v>
      </c>
      <c r="C51" s="106">
        <v>308</v>
      </c>
      <c r="D51" s="106">
        <f t="shared" si="28"/>
        <v>164780</v>
      </c>
      <c r="E51" s="135">
        <f t="shared" si="8"/>
        <v>12775.46</v>
      </c>
      <c r="F51" s="135">
        <f t="shared" si="9"/>
        <v>19961.45</v>
      </c>
      <c r="G51" s="135">
        <f t="shared" si="25"/>
        <v>32736.91</v>
      </c>
      <c r="H51" s="136"/>
      <c r="I51" s="135">
        <f t="shared" si="10"/>
        <v>15825.54</v>
      </c>
      <c r="J51" s="135">
        <f t="shared" si="11"/>
        <v>19961.45</v>
      </c>
      <c r="K51" s="135">
        <f t="shared" si="26"/>
        <v>35786.990000000005</v>
      </c>
      <c r="L51" s="136"/>
      <c r="M51" s="135">
        <f t="shared" si="27"/>
        <v>3050.0800000000054</v>
      </c>
      <c r="N51" s="137">
        <f t="shared" si="4"/>
        <v>9.3169453072999425E-2</v>
      </c>
      <c r="O51" s="135"/>
      <c r="P51" s="135">
        <f t="shared" si="12"/>
        <v>16311.64</v>
      </c>
      <c r="Q51" s="135">
        <f t="shared" si="13"/>
        <v>19961.45</v>
      </c>
      <c r="R51" s="135">
        <f t="shared" si="5"/>
        <v>36273.089999999997</v>
      </c>
      <c r="S51" s="135"/>
      <c r="T51" s="135">
        <f t="shared" si="14"/>
        <v>486.09999999999127</v>
      </c>
      <c r="U51" s="137">
        <f t="shared" si="15"/>
        <v>1.3583148512909054E-2</v>
      </c>
      <c r="V51" s="135"/>
      <c r="W51" s="135">
        <f t="shared" si="16"/>
        <v>16278.69</v>
      </c>
      <c r="X51" s="135">
        <f t="shared" si="17"/>
        <v>19961.45</v>
      </c>
      <c r="Y51" s="135">
        <f t="shared" si="6"/>
        <v>36240.14</v>
      </c>
      <c r="Z51" s="37"/>
      <c r="AA51" s="135">
        <f t="shared" si="18"/>
        <v>-32.94999999999709</v>
      </c>
      <c r="AB51" s="137">
        <f t="shared" si="19"/>
        <v>-9.0838690610579615E-4</v>
      </c>
      <c r="AC51" s="17"/>
      <c r="AD51" s="37"/>
    </row>
    <row r="52" spans="1:30" x14ac:dyDescent="0.3">
      <c r="A52" s="1">
        <f t="shared" si="0"/>
        <v>52</v>
      </c>
      <c r="B52" s="31"/>
      <c r="C52" s="130"/>
      <c r="D52" s="152"/>
      <c r="E52" s="153"/>
      <c r="F52" s="153"/>
      <c r="G52" s="153"/>
      <c r="H52" s="159"/>
      <c r="I52" s="153"/>
      <c r="J52" s="153"/>
      <c r="K52" s="159"/>
      <c r="L52" s="159"/>
      <c r="M52" s="159"/>
      <c r="N52" s="137"/>
      <c r="O52" s="159"/>
      <c r="P52" s="159"/>
      <c r="Q52" s="159"/>
      <c r="R52" s="159"/>
      <c r="S52" s="159"/>
      <c r="T52" s="159"/>
      <c r="U52" s="159"/>
      <c r="V52" s="159"/>
      <c r="Y52" s="37"/>
      <c r="Z52" s="37"/>
      <c r="AA52" s="37"/>
      <c r="AB52" s="37"/>
      <c r="AC52" s="188"/>
      <c r="AD52" s="37"/>
    </row>
    <row r="53" spans="1:30" x14ac:dyDescent="0.3">
      <c r="A53" s="1">
        <f t="shared" si="0"/>
        <v>53</v>
      </c>
      <c r="B53" s="31"/>
      <c r="C53" s="130"/>
      <c r="D53" s="152"/>
      <c r="E53" s="153"/>
      <c r="F53" s="153"/>
      <c r="G53" s="153"/>
      <c r="H53" s="159"/>
      <c r="I53" s="153"/>
      <c r="J53" s="153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Y53" s="37"/>
      <c r="Z53" s="37"/>
      <c r="AA53" s="37"/>
      <c r="AB53" s="37"/>
      <c r="AD53" s="37"/>
    </row>
    <row r="54" spans="1:30" x14ac:dyDescent="0.3">
      <c r="A54" s="1">
        <f t="shared" si="0"/>
        <v>54</v>
      </c>
      <c r="B54" s="31"/>
      <c r="C54" s="44" t="s">
        <v>53</v>
      </c>
      <c r="D54" s="44"/>
      <c r="E54" s="136"/>
      <c r="F54" s="136"/>
      <c r="G54" s="45">
        <f>'EMA R1'!H28</f>
        <v>2024</v>
      </c>
      <c r="I54" s="45">
        <f>'EMA R1'!I28</f>
        <v>2025</v>
      </c>
      <c r="J54" s="45">
        <f>'EMA R1'!J28</f>
        <v>2026</v>
      </c>
      <c r="K54" s="45">
        <f>'EMA R1'!L28</f>
        <v>2027</v>
      </c>
      <c r="M54" s="45" t="str">
        <f>'EMA R1'!M28</f>
        <v>2025 v 2024</v>
      </c>
      <c r="N54" s="45" t="str">
        <f>'EMA R1'!O28</f>
        <v>2026 v 2025</v>
      </c>
      <c r="P54" s="45" t="str">
        <f>'EMA R1'!P28</f>
        <v>2027 v 2026</v>
      </c>
      <c r="Q54" s="136"/>
      <c r="R54" s="136"/>
      <c r="S54" s="136"/>
      <c r="T54" s="136"/>
      <c r="U54" s="136"/>
      <c r="V54" s="136"/>
      <c r="Y54" s="37"/>
      <c r="Z54" s="37"/>
      <c r="AA54" s="37"/>
      <c r="AB54" s="37"/>
      <c r="AD54" s="37"/>
    </row>
    <row r="55" spans="1:30" ht="15.5" x14ac:dyDescent="0.45">
      <c r="A55" s="1">
        <f t="shared" si="0"/>
        <v>55</v>
      </c>
      <c r="B55" s="31"/>
      <c r="C55" s="23" t="s">
        <v>53</v>
      </c>
      <c r="D55" s="23"/>
      <c r="E55" s="136"/>
      <c r="F55" s="136"/>
      <c r="G55" s="47" t="str">
        <f>+'SOUTH G7'!G40</f>
        <v>Rates</v>
      </c>
      <c r="H55" s="116"/>
      <c r="I55" s="47" t="s">
        <v>57</v>
      </c>
      <c r="J55" s="47" t="s">
        <v>57</v>
      </c>
      <c r="K55" s="47" t="s">
        <v>57</v>
      </c>
      <c r="L55" s="37"/>
      <c r="M55" s="48" t="s">
        <v>51</v>
      </c>
      <c r="N55" s="48" t="s">
        <v>51</v>
      </c>
      <c r="O55" s="22"/>
      <c r="P55" s="48" t="s">
        <v>51</v>
      </c>
      <c r="Q55" s="136"/>
      <c r="R55" s="136"/>
      <c r="S55" s="136"/>
      <c r="T55" s="136"/>
      <c r="U55" s="136"/>
      <c r="V55" s="136"/>
    </row>
    <row r="56" spans="1:30" ht="15.5" x14ac:dyDescent="0.45">
      <c r="A56" s="1">
        <f t="shared" si="0"/>
        <v>56</v>
      </c>
      <c r="B56" s="31"/>
      <c r="C56" s="23" t="s">
        <v>197</v>
      </c>
      <c r="D56" s="23"/>
      <c r="E56" s="136"/>
      <c r="F56" s="136"/>
      <c r="G56" s="88">
        <v>27</v>
      </c>
      <c r="H56" s="189"/>
      <c r="I56" s="88">
        <f>G56</f>
        <v>27</v>
      </c>
      <c r="J56" s="88">
        <f>G56</f>
        <v>27</v>
      </c>
      <c r="K56" s="88">
        <f>G56</f>
        <v>27</v>
      </c>
      <c r="L56" s="37"/>
      <c r="M56" s="50">
        <f t="shared" ref="M56:M87" si="29">+I56-G56</f>
        <v>0</v>
      </c>
      <c r="N56" s="50">
        <f>+J56-I56</f>
        <v>0</v>
      </c>
      <c r="O56" s="88"/>
      <c r="P56" s="50">
        <f>+K56-J56</f>
        <v>0</v>
      </c>
      <c r="Q56" s="51" t="s">
        <v>59</v>
      </c>
      <c r="R56" s="136"/>
      <c r="S56" s="136"/>
      <c r="T56" s="136"/>
      <c r="U56" s="136"/>
      <c r="V56" s="136"/>
    </row>
    <row r="57" spans="1:30" ht="15.5" x14ac:dyDescent="0.45">
      <c r="A57" s="1">
        <f t="shared" si="0"/>
        <v>57</v>
      </c>
      <c r="B57" s="31"/>
      <c r="C57" s="23" t="s">
        <v>198</v>
      </c>
      <c r="D57" s="23"/>
      <c r="E57" s="136"/>
      <c r="F57" s="136"/>
      <c r="G57" s="88">
        <v>110</v>
      </c>
      <c r="H57" s="189"/>
      <c r="I57" s="88">
        <f t="shared" ref="I57:I87" si="30">G57</f>
        <v>110</v>
      </c>
      <c r="J57" s="88">
        <f t="shared" ref="J57:J87" si="31">G57</f>
        <v>110</v>
      </c>
      <c r="K57" s="88">
        <f t="shared" ref="K57:K87" si="32">G57</f>
        <v>110</v>
      </c>
      <c r="L57" s="136"/>
      <c r="M57" s="50">
        <f t="shared" si="29"/>
        <v>0</v>
      </c>
      <c r="N57" s="50">
        <f t="shared" ref="N57:N87" si="33">+J57-I57</f>
        <v>0</v>
      </c>
      <c r="O57" s="88"/>
      <c r="P57" s="50">
        <f t="shared" ref="P57:P87" si="34">+K57-J57</f>
        <v>0</v>
      </c>
      <c r="Q57" s="51" t="s">
        <v>59</v>
      </c>
      <c r="R57" s="136"/>
      <c r="S57" s="136"/>
      <c r="T57" s="136"/>
      <c r="U57" s="136"/>
      <c r="V57" s="136"/>
    </row>
    <row r="58" spans="1:30" ht="15.5" x14ac:dyDescent="0.45">
      <c r="A58" s="1">
        <f t="shared" si="0"/>
        <v>58</v>
      </c>
      <c r="B58" s="31"/>
      <c r="C58" s="23" t="s">
        <v>199</v>
      </c>
      <c r="D58" s="23"/>
      <c r="E58" s="136"/>
      <c r="F58" s="136"/>
      <c r="G58" s="88">
        <v>160</v>
      </c>
      <c r="H58" s="189"/>
      <c r="I58" s="88">
        <f t="shared" si="30"/>
        <v>160</v>
      </c>
      <c r="J58" s="88">
        <f t="shared" si="31"/>
        <v>160</v>
      </c>
      <c r="K58" s="88">
        <f t="shared" si="32"/>
        <v>160</v>
      </c>
      <c r="L58" s="136"/>
      <c r="M58" s="50">
        <f t="shared" si="29"/>
        <v>0</v>
      </c>
      <c r="N58" s="50">
        <f t="shared" si="33"/>
        <v>0</v>
      </c>
      <c r="O58" s="88"/>
      <c r="P58" s="50">
        <f t="shared" si="34"/>
        <v>0</v>
      </c>
      <c r="Q58" s="51" t="s">
        <v>59</v>
      </c>
      <c r="R58" s="136"/>
      <c r="S58" s="136"/>
      <c r="T58" s="136"/>
      <c r="U58" s="136"/>
      <c r="V58" s="136"/>
    </row>
    <row r="59" spans="1:30" x14ac:dyDescent="0.3">
      <c r="A59" s="1">
        <f t="shared" si="0"/>
        <v>59</v>
      </c>
      <c r="B59" s="31"/>
      <c r="C59" s="44" t="s">
        <v>200</v>
      </c>
      <c r="D59" s="44"/>
      <c r="E59" s="86"/>
      <c r="F59" s="136"/>
      <c r="G59" s="88">
        <v>370</v>
      </c>
      <c r="H59" s="88"/>
      <c r="I59" s="88">
        <f t="shared" si="30"/>
        <v>370</v>
      </c>
      <c r="J59" s="88">
        <f t="shared" si="31"/>
        <v>370</v>
      </c>
      <c r="K59" s="88">
        <f t="shared" si="32"/>
        <v>370</v>
      </c>
      <c r="L59" s="136"/>
      <c r="M59" s="50">
        <f t="shared" si="29"/>
        <v>0</v>
      </c>
      <c r="N59" s="50">
        <f t="shared" si="33"/>
        <v>0</v>
      </c>
      <c r="O59" s="88"/>
      <c r="P59" s="50">
        <f t="shared" si="34"/>
        <v>0</v>
      </c>
      <c r="Q59" s="51" t="s">
        <v>59</v>
      </c>
      <c r="R59" s="136"/>
      <c r="S59" s="136"/>
      <c r="T59" s="136"/>
      <c r="U59" s="136"/>
      <c r="V59" s="136"/>
    </row>
    <row r="60" spans="1:30" x14ac:dyDescent="0.3">
      <c r="A60" s="1">
        <f t="shared" si="0"/>
        <v>60</v>
      </c>
      <c r="B60" s="31"/>
      <c r="C60" s="44" t="s">
        <v>146</v>
      </c>
      <c r="D60" s="44"/>
      <c r="E60" s="86"/>
      <c r="F60" s="136"/>
      <c r="G60" s="88">
        <v>18.53</v>
      </c>
      <c r="H60" s="88"/>
      <c r="I60" s="88">
        <f t="shared" si="30"/>
        <v>18.53</v>
      </c>
      <c r="J60" s="88">
        <f t="shared" si="31"/>
        <v>18.53</v>
      </c>
      <c r="K60" s="88">
        <f t="shared" si="32"/>
        <v>18.53</v>
      </c>
      <c r="L60" s="136"/>
      <c r="M60" s="50">
        <f t="shared" si="29"/>
        <v>0</v>
      </c>
      <c r="N60" s="50">
        <f t="shared" si="33"/>
        <v>0</v>
      </c>
      <c r="O60" s="50"/>
      <c r="P60" s="50">
        <f t="shared" si="34"/>
        <v>0</v>
      </c>
      <c r="Q60" s="51" t="s">
        <v>59</v>
      </c>
      <c r="R60" s="136"/>
      <c r="S60" s="136"/>
      <c r="T60" s="136"/>
      <c r="U60" s="136"/>
      <c r="V60" s="136"/>
    </row>
    <row r="61" spans="1:30" x14ac:dyDescent="0.3">
      <c r="A61" s="1">
        <f t="shared" si="0"/>
        <v>61</v>
      </c>
      <c r="B61" s="31"/>
      <c r="C61" s="44" t="s">
        <v>60</v>
      </c>
      <c r="D61" s="44"/>
      <c r="E61" s="86"/>
      <c r="F61" s="136"/>
      <c r="G61" s="91">
        <v>0</v>
      </c>
      <c r="H61" s="92"/>
      <c r="I61" s="91">
        <f t="shared" si="30"/>
        <v>0</v>
      </c>
      <c r="J61" s="91">
        <f t="shared" si="31"/>
        <v>0</v>
      </c>
      <c r="K61" s="91">
        <f t="shared" si="32"/>
        <v>0</v>
      </c>
      <c r="L61" s="136"/>
      <c r="M61" s="54">
        <f t="shared" si="29"/>
        <v>0</v>
      </c>
      <c r="N61" s="54">
        <f t="shared" si="33"/>
        <v>0</v>
      </c>
      <c r="O61" s="54"/>
      <c r="P61" s="54">
        <f t="shared" si="34"/>
        <v>0</v>
      </c>
      <c r="Q61" s="51" t="s">
        <v>59</v>
      </c>
      <c r="R61" s="136"/>
      <c r="S61" s="136"/>
      <c r="T61" s="136"/>
      <c r="U61" s="136"/>
      <c r="V61" s="136"/>
    </row>
    <row r="62" spans="1:30" x14ac:dyDescent="0.3">
      <c r="A62" s="1">
        <f t="shared" si="0"/>
        <v>62</v>
      </c>
      <c r="B62" s="31"/>
      <c r="C62" s="44" t="str">
        <f>+'BOS G1ND'!C30</f>
        <v>Exogenous Cost Adjustment</v>
      </c>
      <c r="D62" s="44"/>
      <c r="E62" s="86"/>
      <c r="F62" s="136"/>
      <c r="G62" s="91">
        <v>5.5999999999999995E-4</v>
      </c>
      <c r="H62" s="176"/>
      <c r="I62" s="91">
        <f t="shared" si="30"/>
        <v>5.5999999999999995E-4</v>
      </c>
      <c r="J62" s="91">
        <f t="shared" si="31"/>
        <v>5.5999999999999995E-4</v>
      </c>
      <c r="K62" s="91">
        <f t="shared" si="32"/>
        <v>5.5999999999999995E-4</v>
      </c>
      <c r="L62" s="136"/>
      <c r="M62" s="54">
        <f t="shared" si="29"/>
        <v>0</v>
      </c>
      <c r="N62" s="54">
        <f t="shared" si="33"/>
        <v>0</v>
      </c>
      <c r="O62" s="54"/>
      <c r="P62" s="54">
        <f t="shared" si="34"/>
        <v>0</v>
      </c>
      <c r="Q62" s="51" t="str">
        <f>+'BOS G1ND'!Q30</f>
        <v>ECA</v>
      </c>
      <c r="R62" s="136"/>
      <c r="S62" s="136"/>
      <c r="T62" s="136"/>
      <c r="U62" s="136"/>
      <c r="V62" s="136"/>
    </row>
    <row r="63" spans="1:30" x14ac:dyDescent="0.3">
      <c r="A63" s="1">
        <f t="shared" si="0"/>
        <v>63</v>
      </c>
      <c r="B63" s="31"/>
      <c r="C63" s="44" t="str">
        <f>+'BOS G1ND'!C31</f>
        <v>Revenue Decoupling</v>
      </c>
      <c r="D63" s="44"/>
      <c r="E63" s="86"/>
      <c r="F63" s="136"/>
      <c r="G63" s="91">
        <v>3.0000000000000001E-5</v>
      </c>
      <c r="H63" s="92"/>
      <c r="I63" s="91">
        <f t="shared" si="30"/>
        <v>3.0000000000000001E-5</v>
      </c>
      <c r="J63" s="91">
        <f t="shared" si="31"/>
        <v>3.0000000000000001E-5</v>
      </c>
      <c r="K63" s="91">
        <f t="shared" si="32"/>
        <v>3.0000000000000001E-5</v>
      </c>
      <c r="L63" s="136"/>
      <c r="M63" s="54">
        <f t="shared" si="29"/>
        <v>0</v>
      </c>
      <c r="N63" s="54">
        <f t="shared" si="33"/>
        <v>0</v>
      </c>
      <c r="O63" s="54"/>
      <c r="P63" s="54">
        <f t="shared" si="34"/>
        <v>0</v>
      </c>
      <c r="Q63" s="51" t="str">
        <f>+'BOS G1ND'!Q31</f>
        <v>RDAF</v>
      </c>
      <c r="R63" s="136"/>
      <c r="S63" s="136"/>
      <c r="T63" s="136"/>
      <c r="U63" s="136"/>
      <c r="V63" s="136"/>
    </row>
    <row r="64" spans="1:30" x14ac:dyDescent="0.3">
      <c r="A64" s="1">
        <f t="shared" si="0"/>
        <v>64</v>
      </c>
      <c r="B64" s="31"/>
      <c r="C64" s="44" t="str">
        <f>+'BOS G1ND'!C32</f>
        <v>Distributed Solar Charge</v>
      </c>
      <c r="D64" s="44"/>
      <c r="E64" s="86"/>
      <c r="F64" s="136"/>
      <c r="G64" s="91">
        <v>4.4099999999999999E-3</v>
      </c>
      <c r="H64" s="92"/>
      <c r="I64" s="91">
        <f t="shared" si="30"/>
        <v>4.4099999999999999E-3</v>
      </c>
      <c r="J64" s="91">
        <f t="shared" si="31"/>
        <v>4.4099999999999999E-3</v>
      </c>
      <c r="K64" s="91">
        <f t="shared" si="32"/>
        <v>4.4099999999999999E-3</v>
      </c>
      <c r="L64" s="136"/>
      <c r="M64" s="54">
        <f t="shared" si="29"/>
        <v>0</v>
      </c>
      <c r="N64" s="54">
        <f t="shared" si="33"/>
        <v>0</v>
      </c>
      <c r="O64" s="54"/>
      <c r="P64" s="54">
        <f t="shared" si="34"/>
        <v>0</v>
      </c>
      <c r="Q64" s="51" t="str">
        <f>+'BOS G1ND'!Q32</f>
        <v>SMART</v>
      </c>
      <c r="R64" s="136"/>
      <c r="S64" s="136"/>
      <c r="T64" s="136"/>
      <c r="U64" s="136"/>
      <c r="V64" s="136"/>
    </row>
    <row r="65" spans="1:22" x14ac:dyDescent="0.3">
      <c r="A65" s="1">
        <f t="shared" si="0"/>
        <v>65</v>
      </c>
      <c r="B65" s="31"/>
      <c r="C65" s="44" t="str">
        <f>+'BOS G1ND'!C33</f>
        <v>Residential Assistance Adjustment Factor</v>
      </c>
      <c r="D65" s="44"/>
      <c r="E65" s="86"/>
      <c r="F65" s="136"/>
      <c r="G65" s="53">
        <v>4.4999999999999997E-3</v>
      </c>
      <c r="H65" s="92"/>
      <c r="I65" s="53">
        <f t="shared" si="30"/>
        <v>4.4999999999999997E-3</v>
      </c>
      <c r="J65" s="53">
        <f t="shared" si="31"/>
        <v>4.4999999999999997E-3</v>
      </c>
      <c r="K65" s="53">
        <f t="shared" si="32"/>
        <v>4.4999999999999997E-3</v>
      </c>
      <c r="L65" s="136"/>
      <c r="M65" s="54">
        <f t="shared" si="29"/>
        <v>0</v>
      </c>
      <c r="N65" s="54">
        <f t="shared" si="33"/>
        <v>0</v>
      </c>
      <c r="O65" s="54"/>
      <c r="P65" s="54">
        <f t="shared" si="34"/>
        <v>0</v>
      </c>
      <c r="Q65" s="51" t="str">
        <f>+'BOS G1ND'!Q33</f>
        <v>RAAF</v>
      </c>
      <c r="R65" s="136"/>
      <c r="S65" s="136"/>
      <c r="T65" s="136"/>
      <c r="U65" s="136"/>
      <c r="V65" s="136"/>
    </row>
    <row r="66" spans="1:22" x14ac:dyDescent="0.3">
      <c r="A66" s="1">
        <f t="shared" si="0"/>
        <v>66</v>
      </c>
      <c r="B66" s="31"/>
      <c r="C66" s="44" t="str">
        <f>+'BOS G1ND'!C34</f>
        <v>Pension Adjustment Factor</v>
      </c>
      <c r="D66" s="44"/>
      <c r="E66" s="86"/>
      <c r="F66" s="136"/>
      <c r="G66" s="53">
        <v>3.6999999999999999E-4</v>
      </c>
      <c r="H66" s="92"/>
      <c r="I66" s="53">
        <f t="shared" si="30"/>
        <v>3.6999999999999999E-4</v>
      </c>
      <c r="J66" s="53">
        <f t="shared" si="31"/>
        <v>3.6999999999999999E-4</v>
      </c>
      <c r="K66" s="53">
        <f t="shared" si="32"/>
        <v>3.6999999999999999E-4</v>
      </c>
      <c r="L66" s="136"/>
      <c r="M66" s="54">
        <f t="shared" si="29"/>
        <v>0</v>
      </c>
      <c r="N66" s="54">
        <f t="shared" si="33"/>
        <v>0</v>
      </c>
      <c r="O66" s="54"/>
      <c r="P66" s="54">
        <f t="shared" si="34"/>
        <v>0</v>
      </c>
      <c r="Q66" s="51" t="str">
        <f>+'BOS G1ND'!Q34</f>
        <v>PAF</v>
      </c>
      <c r="R66" s="136"/>
      <c r="S66" s="136"/>
      <c r="T66" s="136"/>
      <c r="U66" s="136"/>
      <c r="V66" s="136"/>
    </row>
    <row r="67" spans="1:22" x14ac:dyDescent="0.3">
      <c r="A67" s="1">
        <f t="shared" ref="A67:A87" si="35">A66+1</f>
        <v>67</v>
      </c>
      <c r="B67" s="31"/>
      <c r="C67" s="44" t="str">
        <f>+'BOS G1ND'!C35</f>
        <v>Net Metering Recovery Surcharge</v>
      </c>
      <c r="D67" s="44"/>
      <c r="E67" s="86"/>
      <c r="F67" s="136"/>
      <c r="G67" s="91">
        <v>8.94E-3</v>
      </c>
      <c r="H67" s="92"/>
      <c r="I67" s="91">
        <f t="shared" si="30"/>
        <v>8.94E-3</v>
      </c>
      <c r="J67" s="91">
        <f t="shared" si="31"/>
        <v>8.94E-3</v>
      </c>
      <c r="K67" s="91">
        <f t="shared" si="32"/>
        <v>8.94E-3</v>
      </c>
      <c r="L67" s="136"/>
      <c r="M67" s="54">
        <f t="shared" si="29"/>
        <v>0</v>
      </c>
      <c r="N67" s="54">
        <f t="shared" si="33"/>
        <v>0</v>
      </c>
      <c r="O67" s="54"/>
      <c r="P67" s="54">
        <f t="shared" si="34"/>
        <v>0</v>
      </c>
      <c r="Q67" s="51" t="str">
        <f>+'BOS G1ND'!Q35</f>
        <v>NMRS</v>
      </c>
      <c r="R67" s="136"/>
      <c r="S67" s="136"/>
      <c r="T67" s="136"/>
      <c r="U67" s="136"/>
      <c r="V67" s="136"/>
    </row>
    <row r="68" spans="1:22" x14ac:dyDescent="0.3">
      <c r="A68" s="1">
        <f t="shared" si="35"/>
        <v>68</v>
      </c>
      <c r="B68" s="31"/>
      <c r="C68" s="44" t="str">
        <f>+'BOS G1ND'!C36</f>
        <v>Long Term Renewable Contract Adjustment</v>
      </c>
      <c r="D68" s="44"/>
      <c r="E68" s="86"/>
      <c r="F68" s="136"/>
      <c r="G68" s="53">
        <v>-1.9300000000000001E-3</v>
      </c>
      <c r="H68" s="92"/>
      <c r="I68" s="53">
        <f t="shared" si="30"/>
        <v>-1.9300000000000001E-3</v>
      </c>
      <c r="J68" s="53">
        <f t="shared" si="31"/>
        <v>-1.9300000000000001E-3</v>
      </c>
      <c r="K68" s="53">
        <f t="shared" si="32"/>
        <v>-1.9300000000000001E-3</v>
      </c>
      <c r="L68" s="136"/>
      <c r="M68" s="54">
        <f t="shared" si="29"/>
        <v>0</v>
      </c>
      <c r="N68" s="54">
        <f t="shared" si="33"/>
        <v>0</v>
      </c>
      <c r="O68" s="54"/>
      <c r="P68" s="54">
        <f t="shared" si="34"/>
        <v>0</v>
      </c>
      <c r="Q68" s="51" t="str">
        <f>+'BOS G1ND'!Q36</f>
        <v>LTRCA</v>
      </c>
      <c r="R68" s="136"/>
      <c r="S68" s="136"/>
      <c r="T68" s="136"/>
      <c r="U68" s="136"/>
      <c r="V68" s="136"/>
    </row>
    <row r="69" spans="1:22" x14ac:dyDescent="0.3">
      <c r="A69" s="1">
        <f t="shared" si="35"/>
        <v>69</v>
      </c>
      <c r="B69" s="31"/>
      <c r="C69" s="44" t="str">
        <f>+'BOS G1ND'!C37</f>
        <v>AG Consulting Expense</v>
      </c>
      <c r="D69" s="44"/>
      <c r="E69" s="86"/>
      <c r="F69" s="136"/>
      <c r="G69" s="53">
        <v>3.0000000000000001E-5</v>
      </c>
      <c r="H69" s="92"/>
      <c r="I69" s="53">
        <f t="shared" si="30"/>
        <v>3.0000000000000001E-5</v>
      </c>
      <c r="J69" s="53">
        <f t="shared" si="31"/>
        <v>3.0000000000000001E-5</v>
      </c>
      <c r="K69" s="53">
        <f t="shared" si="32"/>
        <v>3.0000000000000001E-5</v>
      </c>
      <c r="L69" s="136"/>
      <c r="M69" s="54">
        <f t="shared" si="29"/>
        <v>0</v>
      </c>
      <c r="N69" s="54">
        <f t="shared" si="33"/>
        <v>0</v>
      </c>
      <c r="O69" s="54"/>
      <c r="P69" s="54">
        <f t="shared" si="34"/>
        <v>0</v>
      </c>
      <c r="Q69" s="51" t="str">
        <f>+'BOS G1ND'!Q37</f>
        <v>AGCE</v>
      </c>
      <c r="R69" s="136"/>
      <c r="S69" s="136"/>
      <c r="T69" s="136"/>
      <c r="U69" s="136"/>
      <c r="V69" s="136"/>
    </row>
    <row r="70" spans="1:22" x14ac:dyDescent="0.3">
      <c r="A70" s="1">
        <f t="shared" si="35"/>
        <v>70</v>
      </c>
      <c r="B70" s="31"/>
      <c r="C70" s="44" t="str">
        <f>+'BOS G1ND'!C38</f>
        <v>Storm Cost Recovery Adjustment Factor</v>
      </c>
      <c r="D70" s="44"/>
      <c r="E70" s="86"/>
      <c r="F70" s="136"/>
      <c r="G70" s="53">
        <v>3.65E-3</v>
      </c>
      <c r="H70" s="92"/>
      <c r="I70" s="53">
        <f t="shared" si="30"/>
        <v>3.65E-3</v>
      </c>
      <c r="J70" s="53">
        <f t="shared" si="31"/>
        <v>3.65E-3</v>
      </c>
      <c r="K70" s="53">
        <f t="shared" si="32"/>
        <v>3.65E-3</v>
      </c>
      <c r="L70" s="136"/>
      <c r="M70" s="54">
        <f t="shared" si="29"/>
        <v>0</v>
      </c>
      <c r="N70" s="54">
        <f t="shared" si="33"/>
        <v>0</v>
      </c>
      <c r="O70" s="53"/>
      <c r="P70" s="54">
        <f t="shared" si="34"/>
        <v>0</v>
      </c>
      <c r="Q70" s="51" t="str">
        <f>+'BOS G1ND'!Q38</f>
        <v>SCRA</v>
      </c>
      <c r="R70" s="136"/>
      <c r="S70" s="136"/>
      <c r="T70" s="136"/>
      <c r="U70" s="136"/>
      <c r="V70" s="136"/>
    </row>
    <row r="71" spans="1:22" x14ac:dyDescent="0.3">
      <c r="A71" s="1">
        <f t="shared" si="35"/>
        <v>71</v>
      </c>
      <c r="B71" s="31"/>
      <c r="C71" s="44" t="str">
        <f>+'BOS G1ND'!C39</f>
        <v>Storm Reserve Adjustment</v>
      </c>
      <c r="D71" s="44"/>
      <c r="E71" s="86"/>
      <c r="F71" s="136"/>
      <c r="G71" s="53">
        <v>0</v>
      </c>
      <c r="H71" s="92"/>
      <c r="I71" s="53">
        <f t="shared" si="30"/>
        <v>0</v>
      </c>
      <c r="J71" s="53">
        <f t="shared" si="31"/>
        <v>0</v>
      </c>
      <c r="K71" s="53">
        <f t="shared" si="32"/>
        <v>0</v>
      </c>
      <c r="L71" s="136"/>
      <c r="M71" s="54">
        <f t="shared" si="29"/>
        <v>0</v>
      </c>
      <c r="N71" s="54">
        <f t="shared" si="33"/>
        <v>0</v>
      </c>
      <c r="O71" s="53"/>
      <c r="P71" s="54">
        <f t="shared" si="34"/>
        <v>0</v>
      </c>
      <c r="Q71" s="51" t="str">
        <f>+'BOS G1ND'!Q39</f>
        <v>SRA</v>
      </c>
      <c r="R71" s="136"/>
      <c r="S71" s="136"/>
      <c r="T71" s="136"/>
      <c r="U71" s="136"/>
      <c r="V71" s="136"/>
    </row>
    <row r="72" spans="1:22" x14ac:dyDescent="0.3">
      <c r="A72" s="1">
        <f t="shared" si="35"/>
        <v>72</v>
      </c>
      <c r="B72" s="31"/>
      <c r="C72" s="44" t="str">
        <f>+'BOS G1ND'!C40</f>
        <v>Basic Service Cost True Up Factor</v>
      </c>
      <c r="D72" s="44"/>
      <c r="E72" s="86"/>
      <c r="F72" s="136"/>
      <c r="G72" s="53">
        <v>-2.5000000000000001E-4</v>
      </c>
      <c r="H72" s="92"/>
      <c r="I72" s="53">
        <f t="shared" si="30"/>
        <v>-2.5000000000000001E-4</v>
      </c>
      <c r="J72" s="53">
        <f t="shared" si="31"/>
        <v>-2.5000000000000001E-4</v>
      </c>
      <c r="K72" s="53">
        <f t="shared" si="32"/>
        <v>-2.5000000000000001E-4</v>
      </c>
      <c r="L72" s="136"/>
      <c r="M72" s="54">
        <f t="shared" si="29"/>
        <v>0</v>
      </c>
      <c r="N72" s="54">
        <f t="shared" si="33"/>
        <v>0</v>
      </c>
      <c r="O72" s="53"/>
      <c r="P72" s="54">
        <f t="shared" si="34"/>
        <v>0</v>
      </c>
      <c r="Q72" s="51" t="str">
        <f>+'BOS G1ND'!Q40</f>
        <v>BSTF</v>
      </c>
      <c r="R72" s="136"/>
      <c r="S72" s="136"/>
      <c r="T72" s="136"/>
      <c r="U72" s="136"/>
      <c r="V72" s="136"/>
    </row>
    <row r="73" spans="1:22" x14ac:dyDescent="0.3">
      <c r="A73" s="1">
        <f t="shared" si="35"/>
        <v>73</v>
      </c>
      <c r="B73" s="31"/>
      <c r="C73" s="44" t="str">
        <f>+'BOS G1ND'!C41</f>
        <v>Solar Program Cost Adjustment Factor</v>
      </c>
      <c r="D73" s="44"/>
      <c r="E73" s="86"/>
      <c r="F73" s="136"/>
      <c r="G73" s="53">
        <v>1.0000000000000001E-5</v>
      </c>
      <c r="H73" s="92"/>
      <c r="I73" s="53">
        <f t="shared" si="30"/>
        <v>1.0000000000000001E-5</v>
      </c>
      <c r="J73" s="53">
        <f t="shared" si="31"/>
        <v>1.0000000000000001E-5</v>
      </c>
      <c r="K73" s="53">
        <f t="shared" si="32"/>
        <v>1.0000000000000001E-5</v>
      </c>
      <c r="L73" s="136"/>
      <c r="M73" s="54">
        <f t="shared" si="29"/>
        <v>0</v>
      </c>
      <c r="N73" s="54">
        <f t="shared" si="33"/>
        <v>0</v>
      </c>
      <c r="O73" s="53"/>
      <c r="P73" s="54">
        <f t="shared" si="34"/>
        <v>0</v>
      </c>
      <c r="Q73" s="51" t="str">
        <f>+'BOS G1ND'!Q41</f>
        <v>SPCA</v>
      </c>
      <c r="R73" s="136"/>
      <c r="S73" s="136"/>
      <c r="T73" s="136"/>
      <c r="U73" s="136"/>
      <c r="V73" s="136"/>
    </row>
    <row r="74" spans="1:22" x14ac:dyDescent="0.3">
      <c r="A74" s="1">
        <f t="shared" si="35"/>
        <v>74</v>
      </c>
      <c r="B74" s="31"/>
      <c r="C74" s="44" t="str">
        <f>+'BOS G1ND'!C42</f>
        <v>Solar Expansion Cost Recovery Factor</v>
      </c>
      <c r="D74" s="37"/>
      <c r="E74" s="37"/>
      <c r="F74" s="53"/>
      <c r="G74" s="53">
        <v>-2.7999999999999998E-4</v>
      </c>
      <c r="H74" s="53"/>
      <c r="I74" s="53">
        <f t="shared" si="30"/>
        <v>-2.7999999999999998E-4</v>
      </c>
      <c r="J74" s="53">
        <f t="shared" si="31"/>
        <v>-2.7999999999999998E-4</v>
      </c>
      <c r="K74" s="53">
        <f t="shared" si="32"/>
        <v>-2.7999999999999998E-4</v>
      </c>
      <c r="L74" s="37"/>
      <c r="M74" s="54">
        <f t="shared" si="29"/>
        <v>0</v>
      </c>
      <c r="N74" s="54">
        <f t="shared" si="33"/>
        <v>0</v>
      </c>
      <c r="O74" s="53"/>
      <c r="P74" s="54">
        <f t="shared" si="34"/>
        <v>0</v>
      </c>
      <c r="Q74" s="51" t="str">
        <f>+'BOS G1ND'!Q42</f>
        <v>SECRF</v>
      </c>
    </row>
    <row r="75" spans="1:22" x14ac:dyDescent="0.3">
      <c r="A75" s="1">
        <f t="shared" si="35"/>
        <v>75</v>
      </c>
      <c r="B75" s="31"/>
      <c r="C75" s="44" t="str">
        <f>+'BOS G1ND'!C43</f>
        <v>Vegetation Management</v>
      </c>
      <c r="D75" s="37"/>
      <c r="E75" s="37"/>
      <c r="F75" s="53"/>
      <c r="G75" s="53">
        <v>8.3000000000000001E-4</v>
      </c>
      <c r="H75" s="53"/>
      <c r="I75" s="53">
        <f t="shared" si="30"/>
        <v>8.3000000000000001E-4</v>
      </c>
      <c r="J75" s="53">
        <f t="shared" si="31"/>
        <v>8.3000000000000001E-4</v>
      </c>
      <c r="K75" s="53">
        <f t="shared" si="32"/>
        <v>8.3000000000000001E-4</v>
      </c>
      <c r="L75" s="37"/>
      <c r="M75" s="54">
        <f t="shared" si="29"/>
        <v>0</v>
      </c>
      <c r="N75" s="54">
        <f t="shared" si="33"/>
        <v>0</v>
      </c>
      <c r="O75" s="53"/>
      <c r="P75" s="54">
        <f t="shared" si="34"/>
        <v>0</v>
      </c>
      <c r="Q75" s="51" t="str">
        <f>+'BOS G1ND'!Q43</f>
        <v>RTWF</v>
      </c>
    </row>
    <row r="76" spans="1:22" x14ac:dyDescent="0.3">
      <c r="A76" s="1">
        <f t="shared" si="35"/>
        <v>76</v>
      </c>
      <c r="B76" s="31"/>
      <c r="C76" s="44" t="str">
        <f>+'BOS G1ND'!C44</f>
        <v>Tax Act Credit Factor</v>
      </c>
      <c r="D76" s="44"/>
      <c r="E76" s="86"/>
      <c r="F76" s="136"/>
      <c r="G76" s="53">
        <v>-9.8999999999999999E-4</v>
      </c>
      <c r="H76" s="92"/>
      <c r="I76" s="53">
        <f t="shared" si="30"/>
        <v>-9.8999999999999999E-4</v>
      </c>
      <c r="J76" s="53">
        <f t="shared" si="31"/>
        <v>-9.8999999999999999E-4</v>
      </c>
      <c r="K76" s="53">
        <f t="shared" si="32"/>
        <v>-9.8999999999999999E-4</v>
      </c>
      <c r="L76" s="136"/>
      <c r="M76" s="54">
        <f t="shared" si="29"/>
        <v>0</v>
      </c>
      <c r="N76" s="54">
        <f t="shared" si="33"/>
        <v>0</v>
      </c>
      <c r="O76" s="53"/>
      <c r="P76" s="54">
        <f t="shared" si="34"/>
        <v>0</v>
      </c>
      <c r="Q76" s="51" t="str">
        <f>+'BOS G1ND'!Q44</f>
        <v>TACF</v>
      </c>
      <c r="R76" s="136"/>
      <c r="S76" s="136"/>
      <c r="T76" s="136"/>
      <c r="U76" s="136"/>
      <c r="V76" s="136"/>
    </row>
    <row r="77" spans="1:22" x14ac:dyDescent="0.3">
      <c r="A77" s="1">
        <f t="shared" si="35"/>
        <v>77</v>
      </c>
      <c r="B77" s="31"/>
      <c r="C77" s="44" t="str">
        <f>+'BOS G1ND'!C45</f>
        <v>Grid Modernization</v>
      </c>
      <c r="D77" s="44"/>
      <c r="E77" s="86"/>
      <c r="F77" s="136"/>
      <c r="G77" s="53">
        <v>1.2199999999999999E-3</v>
      </c>
      <c r="H77" s="92"/>
      <c r="I77" s="53">
        <f t="shared" si="30"/>
        <v>1.2199999999999999E-3</v>
      </c>
      <c r="J77" s="53">
        <f t="shared" si="31"/>
        <v>1.2199999999999999E-3</v>
      </c>
      <c r="K77" s="53">
        <f t="shared" si="32"/>
        <v>1.2199999999999999E-3</v>
      </c>
      <c r="L77" s="136"/>
      <c r="M77" s="54">
        <f t="shared" si="29"/>
        <v>0</v>
      </c>
      <c r="N77" s="54">
        <f t="shared" si="33"/>
        <v>0</v>
      </c>
      <c r="O77" s="53"/>
      <c r="P77" s="54">
        <f t="shared" si="34"/>
        <v>0</v>
      </c>
      <c r="Q77" s="51" t="str">
        <f>+'BOS G1ND'!Q45</f>
        <v>GMOD</v>
      </c>
      <c r="R77" s="136"/>
      <c r="S77" s="136"/>
      <c r="T77" s="136"/>
      <c r="U77" s="136"/>
      <c r="V77" s="136"/>
    </row>
    <row r="78" spans="1:22" x14ac:dyDescent="0.3">
      <c r="A78" s="1">
        <f t="shared" si="35"/>
        <v>78</v>
      </c>
      <c r="B78" s="31"/>
      <c r="C78" s="44" t="str">
        <f>+'BOS G1ND'!C46</f>
        <v>Advanced Metering Infrastructure</v>
      </c>
      <c r="D78" s="44"/>
      <c r="E78" s="86"/>
      <c r="F78" s="136"/>
      <c r="G78" s="53">
        <v>1.6199999999999999E-3</v>
      </c>
      <c r="H78" s="92"/>
      <c r="I78" s="53">
        <f t="shared" si="30"/>
        <v>1.6199999999999999E-3</v>
      </c>
      <c r="J78" s="53">
        <f t="shared" si="31"/>
        <v>1.6199999999999999E-3</v>
      </c>
      <c r="K78" s="53">
        <f t="shared" si="32"/>
        <v>1.6199999999999999E-3</v>
      </c>
      <c r="L78" s="136"/>
      <c r="M78" s="54">
        <f t="shared" si="29"/>
        <v>0</v>
      </c>
      <c r="N78" s="54">
        <f t="shared" si="33"/>
        <v>0</v>
      </c>
      <c r="O78" s="53"/>
      <c r="P78" s="54">
        <f t="shared" si="34"/>
        <v>0</v>
      </c>
      <c r="Q78" s="51" t="str">
        <f>+'BOS G1ND'!Q46</f>
        <v>AMIF</v>
      </c>
      <c r="R78" s="136"/>
      <c r="S78" s="136"/>
      <c r="T78" s="136"/>
      <c r="U78" s="136"/>
      <c r="V78" s="136"/>
    </row>
    <row r="79" spans="1:22" x14ac:dyDescent="0.3">
      <c r="A79" s="1">
        <f t="shared" si="35"/>
        <v>79</v>
      </c>
      <c r="B79" s="31"/>
      <c r="C79" s="44" t="str">
        <f>+'BOS G1ND'!C47</f>
        <v>Electronic Payment Recovery</v>
      </c>
      <c r="D79" s="44"/>
      <c r="E79" s="86"/>
      <c r="F79" s="136"/>
      <c r="G79" s="53">
        <v>0</v>
      </c>
      <c r="H79" s="92"/>
      <c r="I79" s="53">
        <f t="shared" si="30"/>
        <v>0</v>
      </c>
      <c r="J79" s="53">
        <f t="shared" si="31"/>
        <v>0</v>
      </c>
      <c r="K79" s="53">
        <f t="shared" si="32"/>
        <v>0</v>
      </c>
      <c r="L79" s="136"/>
      <c r="M79" s="54">
        <f t="shared" si="29"/>
        <v>0</v>
      </c>
      <c r="N79" s="54">
        <f t="shared" si="33"/>
        <v>0</v>
      </c>
      <c r="O79" s="53"/>
      <c r="P79" s="54">
        <f t="shared" si="34"/>
        <v>0</v>
      </c>
      <c r="Q79" s="51" t="str">
        <f>+'BOS G1ND'!Q47</f>
        <v>EPR</v>
      </c>
      <c r="R79" s="136"/>
      <c r="S79" s="136"/>
      <c r="T79" s="136"/>
      <c r="U79" s="136"/>
      <c r="V79" s="136"/>
    </row>
    <row r="80" spans="1:22" x14ac:dyDescent="0.3">
      <c r="A80" s="1">
        <f t="shared" si="35"/>
        <v>80</v>
      </c>
      <c r="B80" s="31"/>
      <c r="C80" s="44" t="str">
        <f>+'BOS G1ND'!C48</f>
        <v>Provisional System Planning Factor</v>
      </c>
      <c r="D80" s="44"/>
      <c r="E80" s="86"/>
      <c r="F80" s="136"/>
      <c r="G80" s="91">
        <v>0</v>
      </c>
      <c r="H80" s="92"/>
      <c r="I80" s="91">
        <f t="shared" si="30"/>
        <v>0</v>
      </c>
      <c r="J80" s="91">
        <f t="shared" si="31"/>
        <v>0</v>
      </c>
      <c r="K80" s="91">
        <f t="shared" si="32"/>
        <v>0</v>
      </c>
      <c r="L80" s="136"/>
      <c r="M80" s="54">
        <f t="shared" si="29"/>
        <v>0</v>
      </c>
      <c r="N80" s="54">
        <f t="shared" si="33"/>
        <v>0</v>
      </c>
      <c r="O80" s="91"/>
      <c r="P80" s="54">
        <f t="shared" si="34"/>
        <v>0</v>
      </c>
      <c r="Q80" s="51" t="str">
        <f>+'BOS G1ND'!Q48</f>
        <v>PSPF</v>
      </c>
      <c r="R80" s="136"/>
      <c r="S80" s="136"/>
      <c r="T80" s="136"/>
      <c r="U80" s="136"/>
      <c r="V80" s="136"/>
    </row>
    <row r="81" spans="1:22" x14ac:dyDescent="0.3">
      <c r="A81" s="1">
        <f t="shared" si="35"/>
        <v>81</v>
      </c>
      <c r="B81" s="31"/>
      <c r="C81" s="44" t="str">
        <f>+'BOS G1ND'!C49</f>
        <v>Electric Vehicle Factor</v>
      </c>
      <c r="D81" s="44"/>
      <c r="E81" s="86"/>
      <c r="F81" s="136"/>
      <c r="G81" s="91">
        <v>7.6000000000000004E-4</v>
      </c>
      <c r="H81" s="92"/>
      <c r="I81" s="91">
        <f t="shared" si="30"/>
        <v>7.6000000000000004E-4</v>
      </c>
      <c r="J81" s="91">
        <f t="shared" si="31"/>
        <v>7.6000000000000004E-4</v>
      </c>
      <c r="K81" s="91">
        <f t="shared" si="32"/>
        <v>7.6000000000000004E-4</v>
      </c>
      <c r="L81" s="136"/>
      <c r="M81" s="54">
        <f t="shared" si="29"/>
        <v>0</v>
      </c>
      <c r="N81" s="54">
        <f t="shared" si="33"/>
        <v>0</v>
      </c>
      <c r="O81" s="91"/>
      <c r="P81" s="54">
        <f t="shared" si="34"/>
        <v>0</v>
      </c>
      <c r="Q81" s="51" t="str">
        <f>+'BOS G1ND'!Q49</f>
        <v>EVF</v>
      </c>
      <c r="R81" s="136"/>
      <c r="S81" s="136"/>
      <c r="T81" s="136"/>
      <c r="U81" s="136"/>
      <c r="V81" s="136"/>
    </row>
    <row r="82" spans="1:22" x14ac:dyDescent="0.3">
      <c r="A82" s="1">
        <f t="shared" si="35"/>
        <v>82</v>
      </c>
      <c r="B82" s="31"/>
      <c r="C82" s="44" t="str">
        <f>+'BOS G1ND'!C50</f>
        <v>Transition</v>
      </c>
      <c r="D82" s="44"/>
      <c r="E82" s="86"/>
      <c r="F82" s="136"/>
      <c r="G82" s="91">
        <v>-3.6999999999999999E-4</v>
      </c>
      <c r="H82" s="92"/>
      <c r="I82" s="91">
        <f t="shared" si="30"/>
        <v>-3.6999999999999999E-4</v>
      </c>
      <c r="J82" s="91">
        <f t="shared" si="31"/>
        <v>-3.6999999999999999E-4</v>
      </c>
      <c r="K82" s="91">
        <f t="shared" si="32"/>
        <v>-3.6999999999999999E-4</v>
      </c>
      <c r="L82" s="136"/>
      <c r="M82" s="54">
        <f t="shared" si="29"/>
        <v>0</v>
      </c>
      <c r="N82" s="54">
        <f t="shared" si="33"/>
        <v>0</v>
      </c>
      <c r="O82" s="91"/>
      <c r="P82" s="54">
        <f t="shared" si="34"/>
        <v>0</v>
      </c>
      <c r="Q82" s="51" t="str">
        <f>+'BOS G1ND'!Q50</f>
        <v>TRNSN</v>
      </c>
      <c r="R82" s="136"/>
      <c r="S82" s="136"/>
      <c r="T82" s="136"/>
      <c r="U82" s="136"/>
      <c r="V82" s="136"/>
    </row>
    <row r="83" spans="1:22" x14ac:dyDescent="0.3">
      <c r="A83" s="1">
        <f t="shared" si="35"/>
        <v>83</v>
      </c>
      <c r="B83" s="31"/>
      <c r="C83" s="44" t="s">
        <v>147</v>
      </c>
      <c r="D83" s="44"/>
      <c r="E83" s="86"/>
      <c r="F83" s="136"/>
      <c r="G83" s="88">
        <v>12.81</v>
      </c>
      <c r="H83" s="88"/>
      <c r="I83" s="88">
        <f t="shared" si="30"/>
        <v>12.81</v>
      </c>
      <c r="J83" s="88">
        <f t="shared" si="31"/>
        <v>12.81</v>
      </c>
      <c r="K83" s="88">
        <f t="shared" si="32"/>
        <v>12.81</v>
      </c>
      <c r="L83" s="136"/>
      <c r="M83" s="50">
        <f t="shared" si="29"/>
        <v>0</v>
      </c>
      <c r="N83" s="50">
        <f t="shared" si="33"/>
        <v>0</v>
      </c>
      <c r="O83" s="88"/>
      <c r="P83" s="50">
        <f t="shared" si="34"/>
        <v>0</v>
      </c>
      <c r="Q83" s="51" t="s">
        <v>104</v>
      </c>
      <c r="R83" s="136"/>
      <c r="S83" s="136"/>
      <c r="T83" s="136"/>
      <c r="U83" s="136"/>
      <c r="V83" s="136"/>
    </row>
    <row r="84" spans="1:22" x14ac:dyDescent="0.3">
      <c r="A84" s="1">
        <f t="shared" si="35"/>
        <v>84</v>
      </c>
      <c r="B84" s="31"/>
      <c r="C84" s="44" t="s">
        <v>105</v>
      </c>
      <c r="E84" s="136"/>
      <c r="F84" s="136"/>
      <c r="G84" s="92">
        <v>-8.1300000000000001E-3</v>
      </c>
      <c r="H84" s="92"/>
      <c r="I84" s="92">
        <v>1.038E-2</v>
      </c>
      <c r="J84" s="92">
        <v>1.333E-2</v>
      </c>
      <c r="K84" s="92">
        <v>1.3129999999999999E-2</v>
      </c>
      <c r="L84" s="136"/>
      <c r="M84" s="54">
        <f t="shared" si="29"/>
        <v>1.8509999999999999E-2</v>
      </c>
      <c r="N84" s="54">
        <f t="shared" si="33"/>
        <v>2.9499999999999995E-3</v>
      </c>
      <c r="O84" s="92"/>
      <c r="P84" s="54">
        <f t="shared" si="34"/>
        <v>-2.0000000000000052E-4</v>
      </c>
      <c r="Q84" s="51" t="s">
        <v>106</v>
      </c>
      <c r="R84" s="136"/>
      <c r="S84" s="136"/>
      <c r="T84" s="136"/>
      <c r="U84" s="136"/>
      <c r="V84" s="136"/>
    </row>
    <row r="85" spans="1:22" x14ac:dyDescent="0.3">
      <c r="A85" s="1">
        <f t="shared" si="35"/>
        <v>85</v>
      </c>
      <c r="C85" s="44" t="s">
        <v>107</v>
      </c>
      <c r="E85" s="136"/>
      <c r="F85" s="136"/>
      <c r="G85" s="92">
        <v>2.5000000000000001E-3</v>
      </c>
      <c r="H85" s="92"/>
      <c r="I85" s="92">
        <f t="shared" si="30"/>
        <v>2.5000000000000001E-3</v>
      </c>
      <c r="J85" s="92">
        <f t="shared" si="31"/>
        <v>2.5000000000000001E-3</v>
      </c>
      <c r="K85" s="92">
        <f t="shared" si="32"/>
        <v>2.5000000000000001E-3</v>
      </c>
      <c r="L85" s="136"/>
      <c r="M85" s="54">
        <f t="shared" si="29"/>
        <v>0</v>
      </c>
      <c r="N85" s="54">
        <f t="shared" si="33"/>
        <v>0</v>
      </c>
      <c r="O85" s="92"/>
      <c r="P85" s="54">
        <f t="shared" si="34"/>
        <v>0</v>
      </c>
      <c r="Q85" s="51" t="s">
        <v>108</v>
      </c>
      <c r="R85" s="136"/>
      <c r="S85" s="136"/>
      <c r="T85" s="136"/>
      <c r="U85" s="136"/>
      <c r="V85" s="136"/>
    </row>
    <row r="86" spans="1:22" x14ac:dyDescent="0.3">
      <c r="A86" s="1">
        <f t="shared" si="35"/>
        <v>86</v>
      </c>
      <c r="C86" s="44" t="s">
        <v>109</v>
      </c>
      <c r="E86" s="136"/>
      <c r="F86" s="136"/>
      <c r="G86" s="92">
        <v>5.0000000000000001E-4</v>
      </c>
      <c r="H86" s="92"/>
      <c r="I86" s="92">
        <f t="shared" si="30"/>
        <v>5.0000000000000001E-4</v>
      </c>
      <c r="J86" s="92">
        <f t="shared" si="31"/>
        <v>5.0000000000000001E-4</v>
      </c>
      <c r="K86" s="92">
        <f t="shared" si="32"/>
        <v>5.0000000000000001E-4</v>
      </c>
      <c r="L86" s="136"/>
      <c r="M86" s="54">
        <f t="shared" si="29"/>
        <v>0</v>
      </c>
      <c r="N86" s="54">
        <f t="shared" si="33"/>
        <v>0</v>
      </c>
      <c r="O86" s="92"/>
      <c r="P86" s="54">
        <f t="shared" si="34"/>
        <v>0</v>
      </c>
      <c r="Q86" s="51" t="s">
        <v>110</v>
      </c>
      <c r="R86" s="136"/>
      <c r="S86" s="136"/>
      <c r="T86" s="136"/>
      <c r="U86" s="136"/>
      <c r="V86" s="136"/>
    </row>
    <row r="87" spans="1:22" x14ac:dyDescent="0.3">
      <c r="A87" s="1">
        <f t="shared" si="35"/>
        <v>87</v>
      </c>
      <c r="C87" s="44" t="s">
        <v>111</v>
      </c>
      <c r="E87" s="136"/>
      <c r="F87" s="136"/>
      <c r="G87" s="92">
        <v>0.12114</v>
      </c>
      <c r="H87" s="92"/>
      <c r="I87" s="92">
        <f t="shared" si="30"/>
        <v>0.12114</v>
      </c>
      <c r="J87" s="92">
        <f t="shared" si="31"/>
        <v>0.12114</v>
      </c>
      <c r="K87" s="92">
        <f t="shared" si="32"/>
        <v>0.12114</v>
      </c>
      <c r="L87" s="136"/>
      <c r="M87" s="54">
        <f t="shared" si="29"/>
        <v>0</v>
      </c>
      <c r="N87" s="54">
        <f t="shared" si="33"/>
        <v>0</v>
      </c>
      <c r="O87" s="92"/>
      <c r="P87" s="54">
        <f t="shared" si="34"/>
        <v>0</v>
      </c>
      <c r="Q87" s="51" t="s">
        <v>112</v>
      </c>
      <c r="R87" s="136"/>
      <c r="S87" s="136"/>
      <c r="T87" s="136"/>
      <c r="U87" s="136"/>
      <c r="V87" s="136"/>
    </row>
    <row r="88" spans="1:22" x14ac:dyDescent="0.3">
      <c r="A88" s="1"/>
      <c r="C88" s="44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</row>
    <row r="89" spans="1:22" x14ac:dyDescent="0.3">
      <c r="A89" s="1"/>
      <c r="C89" s="44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</row>
    <row r="90" spans="1:22" x14ac:dyDescent="0.3">
      <c r="A90" s="1"/>
      <c r="C90" s="44" t="s">
        <v>197</v>
      </c>
      <c r="G90" s="17">
        <f>+G56</f>
        <v>27</v>
      </c>
      <c r="I90" s="17">
        <f>+I56</f>
        <v>27</v>
      </c>
      <c r="J90" s="17">
        <f t="shared" ref="J90:K93" si="36">+J56</f>
        <v>27</v>
      </c>
      <c r="K90" s="17">
        <f t="shared" si="36"/>
        <v>27</v>
      </c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</row>
    <row r="91" spans="1:22" x14ac:dyDescent="0.3">
      <c r="A91" s="1"/>
      <c r="C91" s="44" t="s">
        <v>198</v>
      </c>
      <c r="G91" s="17">
        <f>+G57</f>
        <v>110</v>
      </c>
      <c r="I91" s="17">
        <f>+I57</f>
        <v>110</v>
      </c>
      <c r="J91" s="17">
        <f t="shared" si="36"/>
        <v>110</v>
      </c>
      <c r="K91" s="17">
        <f t="shared" si="36"/>
        <v>110</v>
      </c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</row>
    <row r="92" spans="1:22" x14ac:dyDescent="0.3">
      <c r="A92" s="1"/>
      <c r="C92" s="44" t="s">
        <v>199</v>
      </c>
      <c r="G92" s="17">
        <f>+G58</f>
        <v>160</v>
      </c>
      <c r="I92" s="17">
        <f>+I58</f>
        <v>160</v>
      </c>
      <c r="J92" s="17">
        <f t="shared" si="36"/>
        <v>160</v>
      </c>
      <c r="K92" s="17">
        <f t="shared" si="36"/>
        <v>160</v>
      </c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</row>
    <row r="93" spans="1:22" x14ac:dyDescent="0.3">
      <c r="A93" s="1"/>
      <c r="C93" s="44" t="s">
        <v>200</v>
      </c>
      <c r="G93" s="17">
        <f>+G59</f>
        <v>370</v>
      </c>
      <c r="H93" s="88"/>
      <c r="I93" s="17">
        <f>+I59</f>
        <v>370</v>
      </c>
      <c r="J93" s="17">
        <f t="shared" si="36"/>
        <v>370</v>
      </c>
      <c r="K93" s="17">
        <f t="shared" si="36"/>
        <v>370</v>
      </c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</row>
    <row r="94" spans="1:22" x14ac:dyDescent="0.3">
      <c r="A94" s="1"/>
      <c r="C94" s="44" t="s">
        <v>148</v>
      </c>
      <c r="E94" s="136"/>
      <c r="F94" s="136"/>
      <c r="G94" s="88">
        <f>SUM(G60,G83)</f>
        <v>31.340000000000003</v>
      </c>
      <c r="H94" s="88"/>
      <c r="I94" s="88">
        <f>SUM(I60,I83)</f>
        <v>31.340000000000003</v>
      </c>
      <c r="J94" s="88">
        <f t="shared" ref="J94:K94" si="37">SUM(J60,J83)</f>
        <v>31.340000000000003</v>
      </c>
      <c r="K94" s="88">
        <f t="shared" si="37"/>
        <v>31.340000000000003</v>
      </c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</row>
    <row r="95" spans="1:22" x14ac:dyDescent="0.3">
      <c r="A95" s="1"/>
      <c r="C95" s="44" t="s">
        <v>122</v>
      </c>
      <c r="E95" s="136"/>
      <c r="F95" s="136"/>
      <c r="G95" s="92">
        <f>SUM(G61:G82,G84:G86)</f>
        <v>1.7979999999999999E-2</v>
      </c>
      <c r="H95" s="92"/>
      <c r="I95" s="92">
        <f>SUM(I61:I82,I84:I86)</f>
        <v>3.6490000000000002E-2</v>
      </c>
      <c r="J95" s="92">
        <f t="shared" ref="J95:K95" si="38">SUM(J61:J82,J84:J86)</f>
        <v>3.9440000000000003E-2</v>
      </c>
      <c r="K95" s="92">
        <f t="shared" si="38"/>
        <v>3.9239999999999997E-2</v>
      </c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</row>
    <row r="96" spans="1:22" x14ac:dyDescent="0.3">
      <c r="A96" s="1"/>
      <c r="C96" s="44" t="s">
        <v>123</v>
      </c>
      <c r="E96" s="136"/>
      <c r="F96" s="136"/>
      <c r="G96" s="92">
        <f>+G87</f>
        <v>0.12114</v>
      </c>
      <c r="H96" s="92"/>
      <c r="I96" s="92">
        <f>+I87</f>
        <v>0.12114</v>
      </c>
      <c r="J96" s="92">
        <f t="shared" ref="J96:K96" si="39">+J87</f>
        <v>0.12114</v>
      </c>
      <c r="K96" s="92">
        <f t="shared" si="39"/>
        <v>0.12114</v>
      </c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</row>
    <row r="97" spans="5:22" x14ac:dyDescent="0.3"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</row>
    <row r="98" spans="5:22" x14ac:dyDescent="0.3"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</row>
    <row r="99" spans="5:22" x14ac:dyDescent="0.3"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</row>
    <row r="100" spans="5:22" x14ac:dyDescent="0.3"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</row>
    <row r="101" spans="5:22" x14ac:dyDescent="0.3"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</row>
    <row r="102" spans="5:22" x14ac:dyDescent="0.3"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</row>
    <row r="103" spans="5:22" x14ac:dyDescent="0.3"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</row>
    <row r="104" spans="5:22" x14ac:dyDescent="0.3"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</row>
    <row r="105" spans="5:22" x14ac:dyDescent="0.3"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</row>
    <row r="106" spans="5:22" x14ac:dyDescent="0.3"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</row>
    <row r="107" spans="5:22" x14ac:dyDescent="0.3"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</row>
    <row r="108" spans="5:22" x14ac:dyDescent="0.3"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</row>
    <row r="109" spans="5:22" x14ac:dyDescent="0.3"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</row>
    <row r="110" spans="5:22" x14ac:dyDescent="0.3">
      <c r="I110" s="44"/>
      <c r="J110" s="44"/>
      <c r="K110" s="44"/>
    </row>
    <row r="111" spans="5:22" x14ac:dyDescent="0.3">
      <c r="I111" s="44"/>
      <c r="J111" s="44"/>
      <c r="K111" s="44"/>
    </row>
    <row r="112" spans="5:22" x14ac:dyDescent="0.3">
      <c r="I112" s="44"/>
      <c r="J112" s="44"/>
      <c r="K112" s="44"/>
    </row>
    <row r="113" spans="3:23" x14ac:dyDescent="0.3">
      <c r="I113" s="44"/>
      <c r="J113" s="44"/>
      <c r="K113" s="44"/>
    </row>
    <row r="114" spans="3:23" x14ac:dyDescent="0.3">
      <c r="I114" s="44"/>
      <c r="J114" s="44"/>
      <c r="K114" s="44"/>
    </row>
    <row r="115" spans="3:23" x14ac:dyDescent="0.3">
      <c r="I115" s="44"/>
      <c r="J115" s="44"/>
      <c r="K115" s="44"/>
    </row>
    <row r="116" spans="3:23" x14ac:dyDescent="0.3">
      <c r="I116" s="44"/>
      <c r="J116" s="44"/>
      <c r="K116" s="44"/>
    </row>
    <row r="117" spans="3:23" x14ac:dyDescent="0.3">
      <c r="C117" s="190"/>
      <c r="D117" s="144"/>
      <c r="E117" s="144"/>
      <c r="F117" s="144"/>
      <c r="G117" s="144"/>
      <c r="H117" s="144"/>
      <c r="I117" s="180"/>
      <c r="J117" s="180"/>
      <c r="K117" s="180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</row>
    <row r="118" spans="3:23" x14ac:dyDescent="0.3">
      <c r="C118" s="163"/>
      <c r="D118" s="163"/>
      <c r="E118" s="146"/>
      <c r="F118" s="146"/>
      <c r="G118" s="146"/>
      <c r="H118" s="147"/>
      <c r="I118" s="146"/>
      <c r="J118" s="146"/>
      <c r="K118" s="146"/>
      <c r="L118" s="147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8"/>
    </row>
    <row r="119" spans="3:23" x14ac:dyDescent="0.3">
      <c r="I119" s="44"/>
      <c r="J119" s="44"/>
      <c r="K119" s="44"/>
    </row>
    <row r="120" spans="3:23" x14ac:dyDescent="0.3">
      <c r="C120" s="163"/>
      <c r="D120" s="163"/>
      <c r="E120" s="146"/>
      <c r="F120" s="146"/>
      <c r="G120" s="146"/>
      <c r="H120" s="147"/>
      <c r="I120" s="146"/>
      <c r="J120" s="146"/>
      <c r="K120" s="146"/>
      <c r="L120" s="147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8"/>
    </row>
    <row r="121" spans="3:23" x14ac:dyDescent="0.3">
      <c r="I121" s="44"/>
      <c r="J121" s="44"/>
      <c r="K121" s="44"/>
    </row>
    <row r="122" spans="3:23" x14ac:dyDescent="0.3">
      <c r="I122" s="44"/>
      <c r="J122" s="44"/>
      <c r="K122" s="44"/>
    </row>
    <row r="123" spans="3:23" x14ac:dyDescent="0.3">
      <c r="I123" s="44"/>
      <c r="J123" s="44"/>
      <c r="K123" s="44"/>
    </row>
    <row r="124" spans="3:23" x14ac:dyDescent="0.3">
      <c r="I124" s="44"/>
      <c r="J124" s="44"/>
      <c r="K124" s="44"/>
    </row>
    <row r="125" spans="3:23" x14ac:dyDescent="0.3">
      <c r="I125" s="44"/>
      <c r="J125" s="44"/>
      <c r="K125" s="44"/>
    </row>
    <row r="126" spans="3:23" x14ac:dyDescent="0.3">
      <c r="I126" s="44"/>
      <c r="J126" s="44"/>
      <c r="K126" s="44"/>
    </row>
    <row r="127" spans="3:23" x14ac:dyDescent="0.3">
      <c r="I127" s="44"/>
      <c r="J127" s="44"/>
      <c r="K127" s="44"/>
    </row>
    <row r="128" spans="3:23" x14ac:dyDescent="0.3">
      <c r="I128" s="44"/>
      <c r="J128" s="44"/>
      <c r="K128" s="44"/>
    </row>
    <row r="129" spans="9:11" x14ac:dyDescent="0.3">
      <c r="I129" s="44"/>
      <c r="J129" s="44"/>
      <c r="K129" s="44"/>
    </row>
    <row r="130" spans="9:11" x14ac:dyDescent="0.3">
      <c r="I130" s="44"/>
      <c r="J130" s="44"/>
      <c r="K130" s="44"/>
    </row>
    <row r="131" spans="9:11" x14ac:dyDescent="0.3">
      <c r="I131" s="44"/>
      <c r="J131" s="44"/>
      <c r="K131" s="44"/>
    </row>
    <row r="132" spans="9:11" x14ac:dyDescent="0.3">
      <c r="I132" s="44"/>
      <c r="J132" s="44"/>
      <c r="K132" s="44"/>
    </row>
    <row r="133" spans="9:11" x14ac:dyDescent="0.3">
      <c r="I133" s="44"/>
      <c r="J133" s="44"/>
      <c r="K133" s="44"/>
    </row>
    <row r="134" spans="9:11" x14ac:dyDescent="0.3">
      <c r="I134" s="44"/>
      <c r="J134" s="44"/>
      <c r="K134" s="44"/>
    </row>
    <row r="135" spans="9:11" x14ac:dyDescent="0.3">
      <c r="I135" s="44"/>
      <c r="J135" s="44"/>
      <c r="K135" s="44"/>
    </row>
    <row r="136" spans="9:11" x14ac:dyDescent="0.3">
      <c r="I136" s="44"/>
      <c r="J136" s="44"/>
      <c r="K136" s="44"/>
    </row>
    <row r="137" spans="9:11" x14ac:dyDescent="0.3">
      <c r="I137" s="44"/>
      <c r="J137" s="44"/>
      <c r="K137" s="44"/>
    </row>
    <row r="138" spans="9:11" x14ac:dyDescent="0.3">
      <c r="I138" s="44"/>
      <c r="J138" s="44"/>
      <c r="K138" s="44"/>
    </row>
    <row r="139" spans="9:11" x14ac:dyDescent="0.3">
      <c r="I139" s="44"/>
      <c r="J139" s="44"/>
      <c r="K139" s="44"/>
    </row>
    <row r="140" spans="9:11" x14ac:dyDescent="0.3">
      <c r="I140" s="44"/>
      <c r="J140" s="44"/>
      <c r="K140" s="44"/>
    </row>
    <row r="141" spans="9:11" x14ac:dyDescent="0.3">
      <c r="I141" s="44"/>
      <c r="J141" s="44"/>
      <c r="K141" s="44"/>
    </row>
    <row r="142" spans="9:11" x14ac:dyDescent="0.3">
      <c r="I142" s="44"/>
      <c r="J142" s="44"/>
      <c r="K142" s="44"/>
    </row>
    <row r="143" spans="9:11" x14ac:dyDescent="0.3">
      <c r="I143" s="44"/>
      <c r="J143" s="44"/>
      <c r="K143" s="44"/>
    </row>
    <row r="144" spans="9:11" x14ac:dyDescent="0.3">
      <c r="I144" s="44"/>
      <c r="J144" s="44"/>
      <c r="K144" s="44"/>
    </row>
  </sheetData>
  <mergeCells count="7">
    <mergeCell ref="AA11:AB11"/>
    <mergeCell ref="E11:G11"/>
    <mergeCell ref="I11:K11"/>
    <mergeCell ref="M11:N11"/>
    <mergeCell ref="P11:R11"/>
    <mergeCell ref="T11:U11"/>
    <mergeCell ref="W11:Y11"/>
  </mergeCells>
  <pageMargins left="0.7" right="0.7" top="0.75" bottom="0.75" header="0.3" footer="0.3"/>
  <pageSetup scale="34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1C321-DD03-45E3-9B08-E357A53AC4EF}">
  <sheetPr>
    <tabColor theme="3" tint="0.59999389629810485"/>
    <pageSetUpPr fitToPage="1"/>
  </sheetPr>
  <dimension ref="A1:AD144"/>
  <sheetViews>
    <sheetView zoomScaleNormal="100" workbookViewId="0"/>
  </sheetViews>
  <sheetFormatPr defaultColWidth="9.1796875" defaultRowHeight="14" x14ac:dyDescent="0.3"/>
  <cols>
    <col min="1" max="1" width="3.81640625" style="2" customWidth="1"/>
    <col min="2" max="2" width="4.453125" style="2" bestFit="1" customWidth="1"/>
    <col min="3" max="6" width="12" style="2" customWidth="1"/>
    <col min="7" max="7" width="12.6328125" style="2" bestFit="1" customWidth="1"/>
    <col min="8" max="8" width="2" style="2" customWidth="1"/>
    <col min="9" max="10" width="12" style="2" customWidth="1"/>
    <col min="11" max="11" width="13.08984375" style="2" bestFit="1" customWidth="1"/>
    <col min="12" max="12" width="2" style="2" customWidth="1"/>
    <col min="13" max="14" width="12" style="2" customWidth="1"/>
    <col min="15" max="15" width="2" style="2" customWidth="1"/>
    <col min="16" max="17" width="12" style="2" customWidth="1"/>
    <col min="18" max="18" width="12.6328125" style="2" bestFit="1" customWidth="1"/>
    <col min="19" max="19" width="2" style="2" customWidth="1"/>
    <col min="20" max="21" width="12" style="2" customWidth="1"/>
    <col min="22" max="22" width="2" style="2" customWidth="1"/>
    <col min="23" max="24" width="12" style="2" customWidth="1"/>
    <col min="25" max="25" width="13.08984375" style="2" bestFit="1" customWidth="1"/>
    <col min="26" max="26" width="2" style="2" customWidth="1"/>
    <col min="27" max="28" width="12" style="2" customWidth="1"/>
    <col min="29" max="29" width="13" style="2" bestFit="1" customWidth="1"/>
    <col min="30" max="30" width="8.453125" style="2" bestFit="1" customWidth="1"/>
    <col min="31" max="16384" width="9.1796875" style="2"/>
  </cols>
  <sheetData>
    <row r="1" spans="1:30" x14ac:dyDescent="0.3">
      <c r="A1" s="1">
        <v>1</v>
      </c>
    </row>
    <row r="2" spans="1:30" x14ac:dyDescent="0.3">
      <c r="A2" s="1">
        <f>A1+1</f>
        <v>2</v>
      </c>
    </row>
    <row r="3" spans="1:30" x14ac:dyDescent="0.3">
      <c r="A3" s="1">
        <f t="shared" ref="A3:A66" si="0">A2+1</f>
        <v>3</v>
      </c>
      <c r="B3" s="24" t="s">
        <v>40</v>
      </c>
    </row>
    <row r="4" spans="1:30" x14ac:dyDescent="0.3">
      <c r="A4" s="1">
        <f t="shared" si="0"/>
        <v>4</v>
      </c>
      <c r="B4" s="24" t="s">
        <v>41</v>
      </c>
      <c r="C4" s="44"/>
      <c r="D4" s="44"/>
      <c r="E4" s="149"/>
      <c r="F4" s="22"/>
      <c r="G4" s="150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30" x14ac:dyDescent="0.3">
      <c r="A5" s="1">
        <f t="shared" si="0"/>
        <v>5</v>
      </c>
      <c r="B5" s="24"/>
      <c r="C5" s="44"/>
      <c r="D5" s="44"/>
      <c r="E5" s="149"/>
      <c r="F5" s="22"/>
      <c r="G5" s="150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30" x14ac:dyDescent="0.3">
      <c r="A6" s="1">
        <f t="shared" si="0"/>
        <v>6</v>
      </c>
      <c r="B6" s="24" t="s">
        <v>201</v>
      </c>
      <c r="C6" s="44"/>
      <c r="D6" s="44"/>
      <c r="E6" s="149"/>
      <c r="F6" s="22"/>
      <c r="G6" s="150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0" x14ac:dyDescent="0.3">
      <c r="A7" s="1">
        <f t="shared" si="0"/>
        <v>7</v>
      </c>
      <c r="B7" s="24" t="s">
        <v>196</v>
      </c>
      <c r="C7" s="44"/>
      <c r="D7" s="44"/>
      <c r="E7" s="149"/>
      <c r="F7" s="22"/>
      <c r="G7" s="150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0" x14ac:dyDescent="0.3">
      <c r="A8" s="1">
        <f t="shared" si="0"/>
        <v>8</v>
      </c>
      <c r="B8" s="151"/>
      <c r="C8" s="44"/>
      <c r="D8" s="44"/>
      <c r="E8" s="149"/>
      <c r="F8" s="22"/>
      <c r="G8" s="150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0" x14ac:dyDescent="0.3">
      <c r="A9" s="1">
        <f t="shared" si="0"/>
        <v>9</v>
      </c>
      <c r="B9" s="104"/>
      <c r="C9" s="44"/>
      <c r="D9" s="44"/>
      <c r="E9" s="44"/>
      <c r="F9" s="44"/>
      <c r="G9" s="132"/>
      <c r="H9" s="44"/>
    </row>
    <row r="10" spans="1:30" x14ac:dyDescent="0.3">
      <c r="A10" s="1">
        <f t="shared" si="0"/>
        <v>10</v>
      </c>
      <c r="B10" s="31"/>
      <c r="C10" s="44"/>
      <c r="D10" s="44"/>
      <c r="E10" s="44"/>
      <c r="F10" s="44"/>
      <c r="G10" s="132"/>
      <c r="H10" s="44"/>
    </row>
    <row r="11" spans="1:30" x14ac:dyDescent="0.3">
      <c r="A11" s="1">
        <f t="shared" si="0"/>
        <v>11</v>
      </c>
      <c r="B11" s="31"/>
      <c r="C11" s="104" t="s">
        <v>2</v>
      </c>
      <c r="D11" s="104" t="s">
        <v>2</v>
      </c>
      <c r="E11" s="32" t="str">
        <f>'EMA R1'!D10</f>
        <v>2024 Monthly Bill</v>
      </c>
      <c r="F11" s="32"/>
      <c r="G11" s="32"/>
      <c r="H11" s="133"/>
      <c r="I11" s="32" t="str">
        <f>'EMA R1'!H10</f>
        <v>2025 Illustrative Monthly Bill</v>
      </c>
      <c r="J11" s="32"/>
      <c r="K11" s="32"/>
      <c r="L11" s="23"/>
      <c r="M11" s="32" t="str">
        <f>'EMA R1'!L10</f>
        <v>2025 vs. 2024</v>
      </c>
      <c r="N11" s="32"/>
      <c r="O11" s="27"/>
      <c r="P11" s="32" t="str">
        <f>'EMA R1'!O10</f>
        <v>2026 Illustrative Monthly Bill</v>
      </c>
      <c r="Q11" s="32"/>
      <c r="R11" s="32"/>
      <c r="S11" s="133"/>
      <c r="T11" s="32" t="str">
        <f>'EMA R1'!S10</f>
        <v>2026 vs. 2025</v>
      </c>
      <c r="U11" s="32"/>
      <c r="V11" s="23"/>
      <c r="W11" s="32" t="str">
        <f>'EMA R1'!V10</f>
        <v>2027 Illustrative Monthly Bill</v>
      </c>
      <c r="X11" s="32"/>
      <c r="Y11" s="32"/>
      <c r="Z11" s="133"/>
      <c r="AA11" s="32" t="str">
        <f>'EMA R1'!Z10</f>
        <v>2027 vs. 2026</v>
      </c>
      <c r="AB11" s="32"/>
      <c r="AC11" s="28"/>
      <c r="AD11" s="28"/>
    </row>
    <row r="12" spans="1:30" x14ac:dyDescent="0.3">
      <c r="A12" s="1">
        <f t="shared" si="0"/>
        <v>12</v>
      </c>
      <c r="B12" s="31"/>
      <c r="C12" s="134" t="s">
        <v>125</v>
      </c>
      <c r="D12" s="134" t="s">
        <v>47</v>
      </c>
      <c r="E12" s="34" t="s">
        <v>48</v>
      </c>
      <c r="F12" s="34" t="s">
        <v>49</v>
      </c>
      <c r="G12" s="34" t="s">
        <v>50</v>
      </c>
      <c r="H12" s="34"/>
      <c r="I12" s="34" t="s">
        <v>48</v>
      </c>
      <c r="J12" s="34" t="s">
        <v>49</v>
      </c>
      <c r="K12" s="34" t="s">
        <v>50</v>
      </c>
      <c r="L12" s="23"/>
      <c r="M12" s="34" t="s">
        <v>51</v>
      </c>
      <c r="N12" s="34" t="s">
        <v>14</v>
      </c>
      <c r="O12" s="34"/>
      <c r="P12" s="34" t="s">
        <v>48</v>
      </c>
      <c r="Q12" s="34" t="s">
        <v>49</v>
      </c>
      <c r="R12" s="34" t="s">
        <v>50</v>
      </c>
      <c r="S12" s="34"/>
      <c r="T12" s="34" t="s">
        <v>51</v>
      </c>
      <c r="U12" s="34" t="s">
        <v>14</v>
      </c>
      <c r="V12" s="23"/>
      <c r="W12" s="34" t="s">
        <v>48</v>
      </c>
      <c r="X12" s="34" t="s">
        <v>49</v>
      </c>
      <c r="Y12" s="34" t="s">
        <v>50</v>
      </c>
      <c r="Z12" s="34"/>
      <c r="AA12" s="34" t="s">
        <v>51</v>
      </c>
      <c r="AB12" s="34" t="s">
        <v>14</v>
      </c>
      <c r="AC12" s="28"/>
      <c r="AD12" s="28"/>
    </row>
    <row r="13" spans="1:30" x14ac:dyDescent="0.3">
      <c r="A13" s="1">
        <f t="shared" si="0"/>
        <v>13</v>
      </c>
      <c r="B13" s="31"/>
      <c r="C13" s="134"/>
      <c r="D13" s="134"/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7"/>
      <c r="Y13" s="44"/>
      <c r="Z13" s="44"/>
      <c r="AA13" s="44"/>
      <c r="AB13" s="44"/>
      <c r="AC13" s="44"/>
      <c r="AD13" s="44"/>
    </row>
    <row r="14" spans="1:30" x14ac:dyDescent="0.3">
      <c r="A14" s="1">
        <f t="shared" si="0"/>
        <v>14</v>
      </c>
      <c r="B14" s="31"/>
      <c r="C14" s="164" t="s">
        <v>126</v>
      </c>
      <c r="D14" s="104">
        <v>245</v>
      </c>
      <c r="E14" s="134"/>
      <c r="F14" s="134"/>
      <c r="G14" s="134"/>
      <c r="H14" s="44"/>
      <c r="I14" s="134"/>
      <c r="J14" s="134"/>
      <c r="K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7"/>
      <c r="Y14" s="44"/>
      <c r="Z14" s="44"/>
      <c r="AA14" s="44"/>
      <c r="AB14" s="44"/>
      <c r="AC14" s="44"/>
      <c r="AD14" s="44"/>
    </row>
    <row r="15" spans="1:30" x14ac:dyDescent="0.3">
      <c r="A15" s="1">
        <f t="shared" si="0"/>
        <v>15</v>
      </c>
      <c r="B15" s="31"/>
      <c r="C15" s="105">
        <v>75</v>
      </c>
      <c r="D15" s="106">
        <f>C15*$D$14</f>
        <v>18375</v>
      </c>
      <c r="E15" s="135">
        <f>ROUND(IF($C15&lt;=150,$G$90,IF($C15&lt;=300,$G$91,IF($C15&lt;=1000,$G$92,$G$93)))+$C15*$G$94+$D15*$G$95,2)</f>
        <v>2707.88</v>
      </c>
      <c r="F15" s="135">
        <f>ROUND($D15*$G$96,2)</f>
        <v>2490.92</v>
      </c>
      <c r="G15" s="135">
        <f t="shared" ref="G15:G25" si="1">SUM(E15:F15)</f>
        <v>5198.8</v>
      </c>
      <c r="H15" s="136"/>
      <c r="I15" s="135">
        <f>ROUND(IF($C15&lt;=150,$I$90,IF($C15&lt;=300,$I$91,IF($C15&lt;=1000,$I$92,$I$93)))+$C15*$I$94+$D15*$I$95,2)</f>
        <v>3048</v>
      </c>
      <c r="J15" s="135">
        <f>ROUND($D15*$I$96,2)</f>
        <v>2490.92</v>
      </c>
      <c r="K15" s="135">
        <f t="shared" ref="K15:K25" si="2">SUM(I15:J15)</f>
        <v>5538.92</v>
      </c>
      <c r="L15" s="136"/>
      <c r="M15" s="135">
        <f>+K15-G15</f>
        <v>340.11999999999989</v>
      </c>
      <c r="N15" s="137">
        <f>+M15/G15</f>
        <v>6.5422789874586426E-2</v>
      </c>
      <c r="O15" s="135"/>
      <c r="P15" s="135">
        <f>ROUND(IF($C15&lt;=150,$J$90,IF($C15&lt;=300,$J$91,IF($C15&lt;=1000,$J$92,$J$93)))+$C15*$J$94+$D15*$J$95,2)</f>
        <v>3102.21</v>
      </c>
      <c r="Q15" s="135">
        <f>ROUND($D15*$J$96,2)</f>
        <v>2490.92</v>
      </c>
      <c r="R15" s="135">
        <f t="shared" ref="R15:R25" si="3">SUM(P15:Q15)</f>
        <v>5593.13</v>
      </c>
      <c r="S15" s="136"/>
      <c r="T15" s="135">
        <f>+R15-K15</f>
        <v>54.210000000000036</v>
      </c>
      <c r="U15" s="137">
        <f>+T15/K15</f>
        <v>9.7871065117387575E-3</v>
      </c>
      <c r="V15" s="135"/>
      <c r="W15" s="135">
        <f>ROUND(IF($C15&lt;=150,$K$90,IF($C15&lt;=300,$K$91,IF($C15&lt;=1000,$K$92,$K$93)))+$C15*$K$94+$D15*$K$95,2)</f>
        <v>3098.54</v>
      </c>
      <c r="X15" s="135">
        <f>ROUND($D15*$K$96,2)</f>
        <v>2490.92</v>
      </c>
      <c r="Y15" s="135">
        <f t="shared" ref="Y15:Y25" si="4">SUM(W15:X15)</f>
        <v>5589.46</v>
      </c>
      <c r="Z15" s="136"/>
      <c r="AA15" s="135">
        <f>+Y15-R15</f>
        <v>-3.6700000000000728</v>
      </c>
      <c r="AB15" s="137">
        <f>+AA15/R15</f>
        <v>-6.5616211316384078E-4</v>
      </c>
      <c r="AC15" s="37"/>
      <c r="AD15" s="37"/>
    </row>
    <row r="16" spans="1:30" x14ac:dyDescent="0.3">
      <c r="A16" s="1">
        <f t="shared" si="0"/>
        <v>16</v>
      </c>
      <c r="B16" s="31"/>
      <c r="C16" s="105">
        <v>100</v>
      </c>
      <c r="D16" s="106">
        <f t="shared" ref="D16:D25" si="5">C16*$D$14</f>
        <v>24500</v>
      </c>
      <c r="E16" s="135">
        <f>ROUND(IF($C16&lt;=150,$G$90,IF($C16&lt;=300,$G$91,IF($C16&lt;=1000,$G$92,$G$93)))+$C16*$G$94+$D16*$G$95,2)</f>
        <v>3601.51</v>
      </c>
      <c r="F16" s="135">
        <f t="shared" ref="F16:F51" si="6">ROUND($D16*$G$96,2)</f>
        <v>3321.22</v>
      </c>
      <c r="G16" s="135">
        <f t="shared" si="1"/>
        <v>6922.73</v>
      </c>
      <c r="H16" s="136"/>
      <c r="I16" s="135">
        <f t="shared" ref="I16:I51" si="7">ROUND(IF($C16&lt;=150,$I$90,IF($C16&lt;=300,$I$91,IF($C16&lt;=1000,$I$92,$I$93)))+$C16*$I$94+$D16*$I$95,2)</f>
        <v>4055.01</v>
      </c>
      <c r="J16" s="135">
        <f t="shared" ref="J16:J51" si="8">ROUND($D16*$I$96,2)</f>
        <v>3321.22</v>
      </c>
      <c r="K16" s="135">
        <f t="shared" si="2"/>
        <v>7376.23</v>
      </c>
      <c r="L16" s="136"/>
      <c r="M16" s="135">
        <f t="shared" ref="M16:M25" si="9">+K16-G16</f>
        <v>453.5</v>
      </c>
      <c r="N16" s="137">
        <f t="shared" ref="N16:N25" si="10">+M16/G16</f>
        <v>6.5508838276229178E-2</v>
      </c>
      <c r="O16" s="135"/>
      <c r="P16" s="135">
        <f t="shared" ref="P16:P51" si="11">ROUND(IF($C16&lt;=150,$J$90,IF($C16&lt;=300,$J$91,IF($C16&lt;=1000,$J$92,$J$93)))+$C16*$J$94+$D16*$J$95,2)</f>
        <v>4127.28</v>
      </c>
      <c r="Q16" s="135">
        <f t="shared" ref="Q16:Q51" si="12">ROUND($D16*$J$96,2)</f>
        <v>3321.22</v>
      </c>
      <c r="R16" s="135">
        <f t="shared" si="3"/>
        <v>7448.5</v>
      </c>
      <c r="S16" s="136"/>
      <c r="T16" s="135">
        <f t="shared" ref="T16:T51" si="13">+R16-K16</f>
        <v>72.270000000000437</v>
      </c>
      <c r="U16" s="137">
        <f t="shared" ref="U16:U51" si="14">+T16/K16</f>
        <v>9.7976879788185083E-3</v>
      </c>
      <c r="V16" s="135"/>
      <c r="W16" s="135">
        <f t="shared" ref="W16:W51" si="15">ROUND(IF($C16&lt;=150,$K$90,IF($C16&lt;=300,$K$91,IF($C16&lt;=1000,$K$92,$K$93)))+$C16*$K$94+$D16*$K$95,2)</f>
        <v>4122.38</v>
      </c>
      <c r="X16" s="135">
        <f t="shared" ref="X16:X51" si="16">ROUND($D16*$K$96,2)</f>
        <v>3321.22</v>
      </c>
      <c r="Y16" s="135">
        <f t="shared" si="4"/>
        <v>7443.6</v>
      </c>
      <c r="Z16" s="136"/>
      <c r="AA16" s="135">
        <f t="shared" ref="AA16:AA51" si="17">+Y16-R16</f>
        <v>-4.8999999999996362</v>
      </c>
      <c r="AB16" s="137">
        <f t="shared" ref="AB16:AB51" si="18">+AA16/R16</f>
        <v>-6.5785057394101307E-4</v>
      </c>
      <c r="AC16" s="37"/>
      <c r="AD16" s="37"/>
    </row>
    <row r="17" spans="1:30" x14ac:dyDescent="0.3">
      <c r="A17" s="1">
        <f t="shared" si="0"/>
        <v>17</v>
      </c>
      <c r="B17" s="31"/>
      <c r="C17" s="105">
        <v>125</v>
      </c>
      <c r="D17" s="106">
        <f t="shared" si="5"/>
        <v>30625</v>
      </c>
      <c r="E17" s="135">
        <f t="shared" ref="E17:E51" si="19">ROUND(IF($C17&lt;=150,$G$90,IF($C17&lt;=300,$G$91,IF($C17&lt;=1000,$G$92,$G$93)))+$C17*$G$94+$D17*$G$95,2)</f>
        <v>4495.1400000000003</v>
      </c>
      <c r="F17" s="135">
        <f>ROUND($D17*$G$96,2)</f>
        <v>4151.53</v>
      </c>
      <c r="G17" s="135">
        <f t="shared" si="1"/>
        <v>8646.67</v>
      </c>
      <c r="H17" s="136"/>
      <c r="I17" s="135">
        <f t="shared" si="7"/>
        <v>5062.01</v>
      </c>
      <c r="J17" s="135">
        <f t="shared" si="8"/>
        <v>4151.53</v>
      </c>
      <c r="K17" s="135">
        <f t="shared" si="2"/>
        <v>9213.5400000000009</v>
      </c>
      <c r="L17" s="136"/>
      <c r="M17" s="135">
        <f t="shared" si="9"/>
        <v>566.8700000000008</v>
      </c>
      <c r="N17" s="137">
        <f t="shared" si="10"/>
        <v>6.555934249832604E-2</v>
      </c>
      <c r="O17" s="135"/>
      <c r="P17" s="135">
        <f t="shared" si="11"/>
        <v>5152.3500000000004</v>
      </c>
      <c r="Q17" s="135">
        <f t="shared" si="12"/>
        <v>4151.53</v>
      </c>
      <c r="R17" s="135">
        <f t="shared" si="3"/>
        <v>9303.880000000001</v>
      </c>
      <c r="S17" s="136"/>
      <c r="T17" s="135">
        <f t="shared" si="13"/>
        <v>90.340000000000146</v>
      </c>
      <c r="U17" s="137">
        <f t="shared" si="14"/>
        <v>9.805134617096159E-3</v>
      </c>
      <c r="V17" s="135"/>
      <c r="W17" s="135">
        <f>ROUND(IF($C17&lt;=150,$K$90,IF($C17&lt;=300,$K$91,IF($C17&lt;=1000,$K$92,$K$93)))+$C17*$K$94+$D17*$K$95,2)</f>
        <v>5146.2299999999996</v>
      </c>
      <c r="X17" s="135">
        <f t="shared" si="16"/>
        <v>4151.53</v>
      </c>
      <c r="Y17" s="135">
        <f t="shared" si="4"/>
        <v>9297.7599999999984</v>
      </c>
      <c r="Z17" s="136"/>
      <c r="AA17" s="135">
        <f t="shared" si="17"/>
        <v>-6.1200000000026193</v>
      </c>
      <c r="AB17" s="137">
        <f t="shared" si="18"/>
        <v>-6.5779008327736591E-4</v>
      </c>
      <c r="AC17" s="37"/>
      <c r="AD17" s="37"/>
    </row>
    <row r="18" spans="1:30" x14ac:dyDescent="0.3">
      <c r="A18" s="1">
        <f t="shared" si="0"/>
        <v>18</v>
      </c>
      <c r="B18" s="31"/>
      <c r="C18" s="105">
        <v>150</v>
      </c>
      <c r="D18" s="106">
        <f t="shared" si="5"/>
        <v>36750</v>
      </c>
      <c r="E18" s="135">
        <f t="shared" si="19"/>
        <v>5388.77</v>
      </c>
      <c r="F18" s="135">
        <f t="shared" si="6"/>
        <v>4981.83</v>
      </c>
      <c r="G18" s="135">
        <f t="shared" si="1"/>
        <v>10370.6</v>
      </c>
      <c r="H18" s="136"/>
      <c r="I18" s="135">
        <f>ROUND(IF($C18&lt;=150,$I$90,IF($C18&lt;=300,$I$91,IF($C18&lt;=1000,$I$92,$I$93)))+$C18*$I$94+$D18*$I$95,2)</f>
        <v>6069.01</v>
      </c>
      <c r="J18" s="135">
        <f>ROUND($D18*$I$96,2)</f>
        <v>4981.83</v>
      </c>
      <c r="K18" s="135">
        <f t="shared" si="2"/>
        <v>11050.84</v>
      </c>
      <c r="L18" s="136"/>
      <c r="M18" s="135">
        <f t="shared" si="9"/>
        <v>680.23999999999978</v>
      </c>
      <c r="N18" s="137">
        <f t="shared" si="10"/>
        <v>6.5593119009507622E-2</v>
      </c>
      <c r="O18" s="135"/>
      <c r="P18" s="135">
        <f t="shared" si="11"/>
        <v>6177.42</v>
      </c>
      <c r="Q18" s="135">
        <f t="shared" si="12"/>
        <v>4981.83</v>
      </c>
      <c r="R18" s="135">
        <f t="shared" si="3"/>
        <v>11159.25</v>
      </c>
      <c r="S18" s="136"/>
      <c r="T18" s="135">
        <f t="shared" si="13"/>
        <v>108.40999999999985</v>
      </c>
      <c r="U18" s="137">
        <f t="shared" si="14"/>
        <v>9.8101139822854965E-3</v>
      </c>
      <c r="V18" s="135"/>
      <c r="W18" s="135">
        <f t="shared" si="15"/>
        <v>6170.07</v>
      </c>
      <c r="X18" s="135">
        <f t="shared" si="16"/>
        <v>4981.83</v>
      </c>
      <c r="Y18" s="135">
        <f t="shared" si="4"/>
        <v>11151.9</v>
      </c>
      <c r="Z18" s="136"/>
      <c r="AA18" s="135">
        <f t="shared" si="17"/>
        <v>-7.3500000000003638</v>
      </c>
      <c r="AB18" s="137">
        <f t="shared" si="18"/>
        <v>-6.5864641440960313E-4</v>
      </c>
      <c r="AC18" s="37"/>
      <c r="AD18" s="37"/>
    </row>
    <row r="19" spans="1:30" x14ac:dyDescent="0.3">
      <c r="A19" s="1">
        <f t="shared" si="0"/>
        <v>19</v>
      </c>
      <c r="B19" s="31"/>
      <c r="C19" s="105">
        <v>170</v>
      </c>
      <c r="D19" s="106">
        <f t="shared" si="5"/>
        <v>41650</v>
      </c>
      <c r="E19" s="135">
        <f t="shared" si="19"/>
        <v>6186.67</v>
      </c>
      <c r="F19" s="135">
        <f t="shared" si="6"/>
        <v>5646.07</v>
      </c>
      <c r="G19" s="135">
        <f t="shared" si="1"/>
        <v>11832.74</v>
      </c>
      <c r="H19" s="136"/>
      <c r="I19" s="135">
        <f t="shared" si="7"/>
        <v>6957.61</v>
      </c>
      <c r="J19" s="135">
        <f t="shared" si="8"/>
        <v>5646.07</v>
      </c>
      <c r="K19" s="135">
        <f t="shared" si="2"/>
        <v>12603.68</v>
      </c>
      <c r="L19" s="136"/>
      <c r="M19" s="135">
        <f t="shared" si="9"/>
        <v>770.94000000000051</v>
      </c>
      <c r="N19" s="137">
        <f t="shared" si="10"/>
        <v>6.515312598772563E-2</v>
      </c>
      <c r="O19" s="135"/>
      <c r="P19" s="135">
        <f>ROUND(IF($C19&lt;=150,$J$90,IF($C19&lt;=300,$J$91,IF($C19&lt;=1000,$J$92,$J$93)))+$C19*$J$94+$D19*$J$95,2)</f>
        <v>7080.48</v>
      </c>
      <c r="Q19" s="135">
        <f t="shared" si="12"/>
        <v>5646.07</v>
      </c>
      <c r="R19" s="135">
        <f t="shared" si="3"/>
        <v>12726.55</v>
      </c>
      <c r="S19" s="136"/>
      <c r="T19" s="135">
        <f t="shared" si="13"/>
        <v>122.86999999999898</v>
      </c>
      <c r="U19" s="137">
        <f t="shared" si="14"/>
        <v>9.7487400505248453E-3</v>
      </c>
      <c r="V19" s="135"/>
      <c r="W19" s="135">
        <f t="shared" si="15"/>
        <v>7072.15</v>
      </c>
      <c r="X19" s="135">
        <f>ROUND($D19*$K$96,2)</f>
        <v>5646.07</v>
      </c>
      <c r="Y19" s="135">
        <f t="shared" si="4"/>
        <v>12718.22</v>
      </c>
      <c r="Z19" s="136"/>
      <c r="AA19" s="135">
        <f t="shared" si="17"/>
        <v>-8.3299999999999272</v>
      </c>
      <c r="AB19" s="137">
        <f t="shared" si="18"/>
        <v>-6.5453716836062618E-4</v>
      </c>
      <c r="AC19" s="37"/>
      <c r="AD19" s="37"/>
    </row>
    <row r="20" spans="1:30" x14ac:dyDescent="0.3">
      <c r="A20" s="1">
        <f t="shared" si="0"/>
        <v>20</v>
      </c>
      <c r="B20" s="31"/>
      <c r="C20" s="105">
        <v>200</v>
      </c>
      <c r="D20" s="106">
        <f t="shared" si="5"/>
        <v>49000</v>
      </c>
      <c r="E20" s="135">
        <f t="shared" si="19"/>
        <v>7259.02</v>
      </c>
      <c r="F20" s="135">
        <f t="shared" si="6"/>
        <v>6642.44</v>
      </c>
      <c r="G20" s="135">
        <f t="shared" si="1"/>
        <v>13901.46</v>
      </c>
      <c r="H20" s="136"/>
      <c r="I20" s="135">
        <f t="shared" si="7"/>
        <v>8166.01</v>
      </c>
      <c r="J20" s="135">
        <f t="shared" si="8"/>
        <v>6642.44</v>
      </c>
      <c r="K20" s="135">
        <f t="shared" si="2"/>
        <v>14808.45</v>
      </c>
      <c r="L20" s="136"/>
      <c r="M20" s="135">
        <f t="shared" si="9"/>
        <v>906.9900000000016</v>
      </c>
      <c r="N20" s="137">
        <f t="shared" si="10"/>
        <v>6.5244226146030829E-2</v>
      </c>
      <c r="O20" s="135"/>
      <c r="P20" s="135">
        <f t="shared" si="11"/>
        <v>8310.56</v>
      </c>
      <c r="Q20" s="135">
        <f>ROUND($D20*$J$96,2)</f>
        <v>6642.44</v>
      </c>
      <c r="R20" s="135">
        <f t="shared" si="3"/>
        <v>14953</v>
      </c>
      <c r="S20" s="136"/>
      <c r="T20" s="135">
        <f t="shared" si="13"/>
        <v>144.54999999999927</v>
      </c>
      <c r="U20" s="137">
        <f t="shared" si="14"/>
        <v>9.7613187065492511E-3</v>
      </c>
      <c r="V20" s="135"/>
      <c r="W20" s="135">
        <f t="shared" si="15"/>
        <v>8300.76</v>
      </c>
      <c r="X20" s="135">
        <f t="shared" si="16"/>
        <v>6642.44</v>
      </c>
      <c r="Y20" s="135">
        <f t="shared" si="4"/>
        <v>14943.2</v>
      </c>
      <c r="Z20" s="136"/>
      <c r="AA20" s="135">
        <f t="shared" si="17"/>
        <v>-9.7999999999992724</v>
      </c>
      <c r="AB20" s="137">
        <f t="shared" si="18"/>
        <v>-6.5538687888713114E-4</v>
      </c>
      <c r="AC20" s="37"/>
      <c r="AD20" s="37"/>
    </row>
    <row r="21" spans="1:30" x14ac:dyDescent="0.3">
      <c r="A21" s="1">
        <f t="shared" si="0"/>
        <v>21</v>
      </c>
      <c r="B21" s="31"/>
      <c r="C21" s="105">
        <v>230</v>
      </c>
      <c r="D21" s="106">
        <f t="shared" si="5"/>
        <v>56350</v>
      </c>
      <c r="E21" s="135">
        <f t="shared" si="19"/>
        <v>8331.3700000000008</v>
      </c>
      <c r="F21" s="135">
        <f t="shared" si="6"/>
        <v>7638.81</v>
      </c>
      <c r="G21" s="135">
        <f t="shared" si="1"/>
        <v>15970.18</v>
      </c>
      <c r="H21" s="136"/>
      <c r="I21" s="135">
        <f t="shared" si="7"/>
        <v>9374.41</v>
      </c>
      <c r="J21" s="135">
        <f t="shared" si="8"/>
        <v>7638.81</v>
      </c>
      <c r="K21" s="135">
        <f t="shared" si="2"/>
        <v>17013.22</v>
      </c>
      <c r="L21" s="136"/>
      <c r="M21" s="135">
        <f t="shared" si="9"/>
        <v>1043.0400000000009</v>
      </c>
      <c r="N21" s="137">
        <f t="shared" si="10"/>
        <v>6.5311724726959924E-2</v>
      </c>
      <c r="O21" s="135"/>
      <c r="P21" s="135">
        <f t="shared" si="11"/>
        <v>9540.64</v>
      </c>
      <c r="Q21" s="135">
        <f t="shared" si="12"/>
        <v>7638.81</v>
      </c>
      <c r="R21" s="135">
        <f t="shared" si="3"/>
        <v>17179.45</v>
      </c>
      <c r="S21" s="136"/>
      <c r="T21" s="135">
        <f t="shared" si="13"/>
        <v>166.22999999999956</v>
      </c>
      <c r="U21" s="137">
        <f t="shared" si="14"/>
        <v>9.770637186846438E-3</v>
      </c>
      <c r="V21" s="135"/>
      <c r="W21" s="135">
        <f t="shared" si="15"/>
        <v>9529.3700000000008</v>
      </c>
      <c r="X21" s="135">
        <f t="shared" si="16"/>
        <v>7638.81</v>
      </c>
      <c r="Y21" s="135">
        <f t="shared" si="4"/>
        <v>17168.18</v>
      </c>
      <c r="Z21" s="136"/>
      <c r="AA21" s="135">
        <f t="shared" si="17"/>
        <v>-11.270000000000437</v>
      </c>
      <c r="AB21" s="137">
        <f t="shared" si="18"/>
        <v>-6.5601634511002599E-4</v>
      </c>
      <c r="AC21" s="37"/>
      <c r="AD21" s="37"/>
    </row>
    <row r="22" spans="1:30" x14ac:dyDescent="0.3">
      <c r="A22" s="1">
        <f t="shared" si="0"/>
        <v>22</v>
      </c>
      <c r="B22" s="31"/>
      <c r="C22" s="105">
        <v>300</v>
      </c>
      <c r="D22" s="106">
        <f t="shared" si="5"/>
        <v>73500</v>
      </c>
      <c r="E22" s="135">
        <f t="shared" si="19"/>
        <v>10833.53</v>
      </c>
      <c r="F22" s="135">
        <f t="shared" si="6"/>
        <v>9963.66</v>
      </c>
      <c r="G22" s="135">
        <f t="shared" si="1"/>
        <v>20797.190000000002</v>
      </c>
      <c r="H22" s="136"/>
      <c r="I22" s="135">
        <f t="shared" si="7"/>
        <v>12194.02</v>
      </c>
      <c r="J22" s="135">
        <f t="shared" si="8"/>
        <v>9963.66</v>
      </c>
      <c r="K22" s="135">
        <f t="shared" si="2"/>
        <v>22157.68</v>
      </c>
      <c r="L22" s="136"/>
      <c r="M22" s="135">
        <f t="shared" si="9"/>
        <v>1360.489999999998</v>
      </c>
      <c r="N22" s="137">
        <f t="shared" si="10"/>
        <v>6.5417010663459715E-2</v>
      </c>
      <c r="O22" s="135"/>
      <c r="P22" s="135">
        <f t="shared" si="11"/>
        <v>12410.84</v>
      </c>
      <c r="Q22" s="135">
        <f t="shared" si="12"/>
        <v>9963.66</v>
      </c>
      <c r="R22" s="135">
        <f t="shared" si="3"/>
        <v>22374.5</v>
      </c>
      <c r="S22" s="136"/>
      <c r="T22" s="135">
        <f t="shared" si="13"/>
        <v>216.81999999999971</v>
      </c>
      <c r="U22" s="137">
        <f t="shared" si="14"/>
        <v>9.7853204848160867E-3</v>
      </c>
      <c r="V22" s="135"/>
      <c r="W22" s="135">
        <f t="shared" si="15"/>
        <v>12396.14</v>
      </c>
      <c r="X22" s="135">
        <f t="shared" si="16"/>
        <v>9963.66</v>
      </c>
      <c r="Y22" s="135">
        <f t="shared" si="4"/>
        <v>22359.8</v>
      </c>
      <c r="Z22" s="136"/>
      <c r="AA22" s="135">
        <f t="shared" si="17"/>
        <v>-14.700000000000728</v>
      </c>
      <c r="AB22" s="137">
        <f t="shared" si="18"/>
        <v>-6.5699792174130046E-4</v>
      </c>
      <c r="AC22" s="37"/>
      <c r="AD22" s="37"/>
    </row>
    <row r="23" spans="1:30" x14ac:dyDescent="0.3">
      <c r="A23" s="1">
        <f t="shared" si="0"/>
        <v>23</v>
      </c>
      <c r="B23" s="31"/>
      <c r="C23" s="105">
        <v>400</v>
      </c>
      <c r="D23" s="106">
        <f t="shared" si="5"/>
        <v>98000</v>
      </c>
      <c r="E23" s="135">
        <f t="shared" si="19"/>
        <v>14458.04</v>
      </c>
      <c r="F23" s="135">
        <f t="shared" si="6"/>
        <v>13284.88</v>
      </c>
      <c r="G23" s="135">
        <f t="shared" si="1"/>
        <v>27742.92</v>
      </c>
      <c r="H23" s="136"/>
      <c r="I23" s="135">
        <f t="shared" si="7"/>
        <v>16272.02</v>
      </c>
      <c r="J23" s="135">
        <f t="shared" si="8"/>
        <v>13284.88</v>
      </c>
      <c r="K23" s="135">
        <f t="shared" si="2"/>
        <v>29556.9</v>
      </c>
      <c r="L23" s="136"/>
      <c r="M23" s="135">
        <f t="shared" si="9"/>
        <v>1813.9800000000032</v>
      </c>
      <c r="N23" s="137">
        <f t="shared" si="10"/>
        <v>6.538533074384395E-2</v>
      </c>
      <c r="O23" s="135"/>
      <c r="P23" s="135">
        <f t="shared" si="11"/>
        <v>16561.12</v>
      </c>
      <c r="Q23" s="135">
        <f t="shared" si="12"/>
        <v>13284.88</v>
      </c>
      <c r="R23" s="135">
        <f t="shared" si="3"/>
        <v>29846</v>
      </c>
      <c r="S23" s="136"/>
      <c r="T23" s="135">
        <f t="shared" si="13"/>
        <v>289.09999999999854</v>
      </c>
      <c r="U23" s="137">
        <f t="shared" si="14"/>
        <v>9.7811340160841812E-3</v>
      </c>
      <c r="V23" s="135"/>
      <c r="W23" s="135">
        <f t="shared" si="15"/>
        <v>16541.52</v>
      </c>
      <c r="X23" s="135">
        <f t="shared" si="16"/>
        <v>13284.88</v>
      </c>
      <c r="Y23" s="135">
        <f t="shared" si="4"/>
        <v>29826.400000000001</v>
      </c>
      <c r="Z23" s="136"/>
      <c r="AA23" s="135">
        <f t="shared" si="17"/>
        <v>-19.599999999998545</v>
      </c>
      <c r="AB23" s="137">
        <f t="shared" si="18"/>
        <v>-6.5670441600209554E-4</v>
      </c>
      <c r="AC23" s="37"/>
      <c r="AD23" s="37"/>
    </row>
    <row r="24" spans="1:30" x14ac:dyDescent="0.3">
      <c r="A24" s="1">
        <f t="shared" si="0"/>
        <v>24</v>
      </c>
      <c r="B24" s="31"/>
      <c r="C24" s="105">
        <v>850</v>
      </c>
      <c r="D24" s="106">
        <f t="shared" si="5"/>
        <v>208250</v>
      </c>
      <c r="E24" s="135">
        <f t="shared" si="19"/>
        <v>30543.34</v>
      </c>
      <c r="F24" s="135">
        <f t="shared" si="6"/>
        <v>28230.37</v>
      </c>
      <c r="G24" s="135">
        <f t="shared" si="1"/>
        <v>58773.71</v>
      </c>
      <c r="H24" s="136"/>
      <c r="I24" s="135">
        <f t="shared" si="7"/>
        <v>34398.04</v>
      </c>
      <c r="J24" s="135">
        <f t="shared" si="8"/>
        <v>28230.37</v>
      </c>
      <c r="K24" s="135">
        <f t="shared" si="2"/>
        <v>62628.41</v>
      </c>
      <c r="L24" s="136"/>
      <c r="M24" s="135">
        <f t="shared" si="9"/>
        <v>3854.7000000000044</v>
      </c>
      <c r="N24" s="137">
        <f t="shared" si="10"/>
        <v>6.5585446282019705E-2</v>
      </c>
      <c r="O24" s="135"/>
      <c r="P24" s="135">
        <f t="shared" si="11"/>
        <v>35012.379999999997</v>
      </c>
      <c r="Q24" s="135">
        <f t="shared" si="12"/>
        <v>28230.37</v>
      </c>
      <c r="R24" s="135">
        <f t="shared" si="3"/>
        <v>63242.75</v>
      </c>
      <c r="S24" s="136"/>
      <c r="T24" s="135">
        <f t="shared" si="13"/>
        <v>614.33999999999651</v>
      </c>
      <c r="U24" s="137">
        <f t="shared" si="14"/>
        <v>9.8092862328773237E-3</v>
      </c>
      <c r="V24" s="135"/>
      <c r="W24" s="135">
        <f t="shared" si="15"/>
        <v>34970.730000000003</v>
      </c>
      <c r="X24" s="135">
        <f t="shared" si="16"/>
        <v>28230.37</v>
      </c>
      <c r="Y24" s="135">
        <f t="shared" si="4"/>
        <v>63201.100000000006</v>
      </c>
      <c r="Z24" s="136"/>
      <c r="AA24" s="135">
        <f t="shared" si="17"/>
        <v>-41.649999999994179</v>
      </c>
      <c r="AB24" s="137">
        <f t="shared" si="18"/>
        <v>-6.5857351237879724E-4</v>
      </c>
      <c r="AC24" s="37"/>
      <c r="AD24" s="37"/>
    </row>
    <row r="25" spans="1:30" x14ac:dyDescent="0.3">
      <c r="A25" s="1">
        <f t="shared" si="0"/>
        <v>25</v>
      </c>
      <c r="B25" s="31" t="s">
        <v>52</v>
      </c>
      <c r="C25" s="106">
        <v>260</v>
      </c>
      <c r="D25" s="106">
        <f t="shared" si="5"/>
        <v>63700</v>
      </c>
      <c r="E25" s="135">
        <f t="shared" si="19"/>
        <v>9403.73</v>
      </c>
      <c r="F25" s="135">
        <f t="shared" si="6"/>
        <v>8635.17</v>
      </c>
      <c r="G25" s="135">
        <f t="shared" si="1"/>
        <v>18038.900000000001</v>
      </c>
      <c r="H25" s="136"/>
      <c r="I25" s="135">
        <f t="shared" si="7"/>
        <v>10582.81</v>
      </c>
      <c r="J25" s="135">
        <f t="shared" si="8"/>
        <v>8635.17</v>
      </c>
      <c r="K25" s="135">
        <f t="shared" si="2"/>
        <v>19217.98</v>
      </c>
      <c r="L25" s="136"/>
      <c r="M25" s="135">
        <f t="shared" si="9"/>
        <v>1179.0799999999981</v>
      </c>
      <c r="N25" s="137">
        <f t="shared" si="10"/>
        <v>6.5363187334039105E-2</v>
      </c>
      <c r="O25" s="135"/>
      <c r="P25" s="135">
        <f t="shared" si="11"/>
        <v>10770.73</v>
      </c>
      <c r="Q25" s="135">
        <f t="shared" si="12"/>
        <v>8635.17</v>
      </c>
      <c r="R25" s="135">
        <f t="shared" si="3"/>
        <v>19405.900000000001</v>
      </c>
      <c r="S25" s="136"/>
      <c r="T25" s="135">
        <f t="shared" si="13"/>
        <v>187.92000000000189</v>
      </c>
      <c r="U25" s="137">
        <f t="shared" si="14"/>
        <v>9.7783429892216514E-3</v>
      </c>
      <c r="V25" s="135"/>
      <c r="W25" s="135">
        <f t="shared" si="15"/>
        <v>10757.99</v>
      </c>
      <c r="X25" s="135">
        <f t="shared" si="16"/>
        <v>8635.17</v>
      </c>
      <c r="Y25" s="135">
        <f t="shared" si="4"/>
        <v>19393.16</v>
      </c>
      <c r="Z25" s="136"/>
      <c r="AA25" s="135">
        <f t="shared" si="17"/>
        <v>-12.740000000001601</v>
      </c>
      <c r="AB25" s="137">
        <f t="shared" si="18"/>
        <v>-6.5650137329377142E-4</v>
      </c>
      <c r="AC25" s="37"/>
      <c r="AD25" s="37"/>
    </row>
    <row r="26" spans="1:30" x14ac:dyDescent="0.3">
      <c r="A26" s="1">
        <f t="shared" si="0"/>
        <v>26</v>
      </c>
      <c r="B26" s="31"/>
      <c r="C26" s="130"/>
      <c r="D26" s="158"/>
      <c r="E26" s="135"/>
      <c r="F26" s="135"/>
      <c r="G26" s="153"/>
      <c r="H26" s="159"/>
      <c r="I26" s="135"/>
      <c r="J26" s="135"/>
      <c r="K26" s="159"/>
      <c r="L26" s="159"/>
      <c r="M26" s="159"/>
      <c r="N26" s="137"/>
      <c r="O26" s="159"/>
      <c r="P26" s="135"/>
      <c r="Q26" s="135"/>
      <c r="R26" s="159"/>
      <c r="S26" s="159"/>
      <c r="T26" s="135"/>
      <c r="U26" s="137"/>
      <c r="V26" s="159"/>
      <c r="W26" s="135"/>
      <c r="X26" s="135"/>
      <c r="Y26" s="159"/>
      <c r="Z26" s="159"/>
      <c r="AA26" s="135"/>
      <c r="AB26" s="137"/>
      <c r="AC26" s="37"/>
      <c r="AD26" s="37"/>
    </row>
    <row r="27" spans="1:30" x14ac:dyDescent="0.3">
      <c r="A27" s="1">
        <f t="shared" si="0"/>
        <v>27</v>
      </c>
      <c r="B27" s="31"/>
      <c r="C27" s="164" t="s">
        <v>126</v>
      </c>
      <c r="D27" s="104">
        <v>390</v>
      </c>
      <c r="E27" s="135"/>
      <c r="F27" s="135"/>
      <c r="G27" s="136"/>
      <c r="H27" s="136"/>
      <c r="I27" s="135"/>
      <c r="J27" s="135"/>
      <c r="K27" s="136"/>
      <c r="L27" s="136"/>
      <c r="M27" s="136"/>
      <c r="O27" s="136"/>
      <c r="P27" s="135"/>
      <c r="Q27" s="135"/>
      <c r="R27" s="136"/>
      <c r="S27" s="136"/>
      <c r="T27" s="135"/>
      <c r="U27" s="137"/>
      <c r="V27" s="136"/>
      <c r="W27" s="135"/>
      <c r="X27" s="135"/>
      <c r="Y27" s="136"/>
      <c r="Z27" s="136"/>
      <c r="AA27" s="135"/>
      <c r="AB27" s="137"/>
    </row>
    <row r="28" spans="1:30" x14ac:dyDescent="0.3">
      <c r="A28" s="1">
        <f t="shared" si="0"/>
        <v>28</v>
      </c>
      <c r="B28" s="31"/>
      <c r="C28" s="105">
        <v>75</v>
      </c>
      <c r="D28" s="106">
        <f>C28*$D$27</f>
        <v>29250</v>
      </c>
      <c r="E28" s="135">
        <f t="shared" si="19"/>
        <v>2903.42</v>
      </c>
      <c r="F28" s="135">
        <f t="shared" si="6"/>
        <v>3965.13</v>
      </c>
      <c r="G28" s="135">
        <f t="shared" ref="G28" si="20">SUM(E28:F28)</f>
        <v>6868.55</v>
      </c>
      <c r="H28" s="136"/>
      <c r="I28" s="135">
        <f t="shared" si="7"/>
        <v>3444.83</v>
      </c>
      <c r="J28" s="135">
        <f t="shared" si="8"/>
        <v>3965.13</v>
      </c>
      <c r="K28" s="135">
        <f t="shared" ref="K28:K38" si="21">SUM(I28:J28)</f>
        <v>7409.96</v>
      </c>
      <c r="L28" s="136"/>
      <c r="M28" s="135">
        <f t="shared" ref="M28:M38" si="22">+K28-G28</f>
        <v>541.40999999999985</v>
      </c>
      <c r="N28" s="137">
        <f t="shared" ref="N28:N38" si="23">+M28/G28</f>
        <v>7.8824497164612595E-2</v>
      </c>
      <c r="O28" s="135"/>
      <c r="P28" s="135">
        <f t="shared" si="11"/>
        <v>3531.12</v>
      </c>
      <c r="Q28" s="135">
        <f t="shared" si="12"/>
        <v>3965.13</v>
      </c>
      <c r="R28" s="135">
        <f t="shared" ref="R28:R38" si="24">SUM(P28:Q28)</f>
        <v>7496.25</v>
      </c>
      <c r="S28" s="136"/>
      <c r="T28" s="135">
        <f t="shared" si="13"/>
        <v>86.289999999999964</v>
      </c>
      <c r="U28" s="137">
        <f t="shared" si="14"/>
        <v>1.1645137085760243E-2</v>
      </c>
      <c r="V28" s="135"/>
      <c r="W28" s="135">
        <f t="shared" si="15"/>
        <v>3525.27</v>
      </c>
      <c r="X28" s="135">
        <f t="shared" si="16"/>
        <v>3965.13</v>
      </c>
      <c r="Y28" s="135">
        <f t="shared" ref="Y28:Y38" si="25">SUM(W28:X28)</f>
        <v>7490.4</v>
      </c>
      <c r="Z28" s="136"/>
      <c r="AA28" s="135">
        <f t="shared" si="17"/>
        <v>-5.8500000000003638</v>
      </c>
      <c r="AB28" s="137">
        <f t="shared" si="18"/>
        <v>-7.8039019509759731E-4</v>
      </c>
      <c r="AC28" s="37"/>
      <c r="AD28" s="37"/>
    </row>
    <row r="29" spans="1:30" x14ac:dyDescent="0.3">
      <c r="A29" s="1">
        <f t="shared" si="0"/>
        <v>29</v>
      </c>
      <c r="B29" s="31"/>
      <c r="C29" s="105">
        <v>100</v>
      </c>
      <c r="D29" s="106">
        <f t="shared" ref="D29:D38" si="26">C29*$D$27</f>
        <v>39000</v>
      </c>
      <c r="E29" s="135">
        <f t="shared" si="19"/>
        <v>3862.22</v>
      </c>
      <c r="F29" s="135">
        <f t="shared" si="6"/>
        <v>5286.84</v>
      </c>
      <c r="G29" s="135">
        <f t="shared" ref="G29:G38" si="27">SUM(E29:F29)</f>
        <v>9149.06</v>
      </c>
      <c r="H29" s="136"/>
      <c r="I29" s="135">
        <f t="shared" si="7"/>
        <v>4584.1099999999997</v>
      </c>
      <c r="J29" s="135">
        <f t="shared" si="8"/>
        <v>5286.84</v>
      </c>
      <c r="K29" s="135">
        <f t="shared" si="21"/>
        <v>9870.9500000000007</v>
      </c>
      <c r="L29" s="136"/>
      <c r="M29" s="135">
        <f t="shared" si="22"/>
        <v>721.89000000000124</v>
      </c>
      <c r="N29" s="137">
        <f t="shared" si="23"/>
        <v>7.890318786848062E-2</v>
      </c>
      <c r="O29" s="135"/>
      <c r="P29" s="135">
        <f t="shared" si="11"/>
        <v>4699.16</v>
      </c>
      <c r="Q29" s="135">
        <f t="shared" si="12"/>
        <v>5286.84</v>
      </c>
      <c r="R29" s="135">
        <f t="shared" si="24"/>
        <v>9986</v>
      </c>
      <c r="S29" s="136"/>
      <c r="T29" s="135">
        <f t="shared" si="13"/>
        <v>115.04999999999927</v>
      </c>
      <c r="U29" s="137">
        <f t="shared" si="14"/>
        <v>1.1655413106134594E-2</v>
      </c>
      <c r="V29" s="135"/>
      <c r="W29" s="135">
        <f t="shared" si="15"/>
        <v>4691.3599999999997</v>
      </c>
      <c r="X29" s="135">
        <f t="shared" si="16"/>
        <v>5286.84</v>
      </c>
      <c r="Y29" s="135">
        <f t="shared" si="25"/>
        <v>9978.2000000000007</v>
      </c>
      <c r="Z29" s="136"/>
      <c r="AA29" s="135">
        <f t="shared" si="17"/>
        <v>-7.7999999999992724</v>
      </c>
      <c r="AB29" s="137">
        <f t="shared" si="18"/>
        <v>-7.8109353094324777E-4</v>
      </c>
      <c r="AC29" s="37"/>
      <c r="AD29" s="37"/>
    </row>
    <row r="30" spans="1:30" x14ac:dyDescent="0.3">
      <c r="A30" s="1">
        <f t="shared" si="0"/>
        <v>30</v>
      </c>
      <c r="B30" s="31"/>
      <c r="C30" s="105">
        <v>125</v>
      </c>
      <c r="D30" s="106">
        <f t="shared" si="26"/>
        <v>48750</v>
      </c>
      <c r="E30" s="135">
        <f t="shared" si="19"/>
        <v>4821.03</v>
      </c>
      <c r="F30" s="135">
        <f t="shared" si="6"/>
        <v>6608.55</v>
      </c>
      <c r="G30" s="135">
        <f t="shared" si="27"/>
        <v>11429.58</v>
      </c>
      <c r="H30" s="136"/>
      <c r="I30" s="135">
        <f t="shared" si="7"/>
        <v>5723.39</v>
      </c>
      <c r="J30" s="135">
        <f t="shared" si="8"/>
        <v>6608.55</v>
      </c>
      <c r="K30" s="135">
        <f t="shared" si="21"/>
        <v>12331.94</v>
      </c>
      <c r="L30" s="136"/>
      <c r="M30" s="135">
        <f t="shared" si="22"/>
        <v>902.36000000000058</v>
      </c>
      <c r="N30" s="137">
        <f t="shared" si="23"/>
        <v>7.8949532703738945E-2</v>
      </c>
      <c r="O30" s="135"/>
      <c r="P30" s="135">
        <f t="shared" si="11"/>
        <v>5867.2</v>
      </c>
      <c r="Q30" s="135">
        <f t="shared" si="12"/>
        <v>6608.55</v>
      </c>
      <c r="R30" s="135">
        <f t="shared" si="24"/>
        <v>12475.75</v>
      </c>
      <c r="S30" s="136"/>
      <c r="T30" s="135">
        <f t="shared" si="13"/>
        <v>143.80999999999949</v>
      </c>
      <c r="U30" s="137">
        <f t="shared" si="14"/>
        <v>1.1661587714503921E-2</v>
      </c>
      <c r="V30" s="135"/>
      <c r="W30" s="135">
        <f t="shared" si="15"/>
        <v>5857.45</v>
      </c>
      <c r="X30" s="135">
        <f t="shared" si="16"/>
        <v>6608.55</v>
      </c>
      <c r="Y30" s="135">
        <f t="shared" si="25"/>
        <v>12466</v>
      </c>
      <c r="Z30" s="136"/>
      <c r="AA30" s="135">
        <f t="shared" si="17"/>
        <v>-9.75</v>
      </c>
      <c r="AB30" s="137">
        <f t="shared" si="18"/>
        <v>-7.815161413141494E-4</v>
      </c>
      <c r="AC30" s="37"/>
      <c r="AD30" s="37"/>
    </row>
    <row r="31" spans="1:30" x14ac:dyDescent="0.3">
      <c r="A31" s="1">
        <f t="shared" si="0"/>
        <v>31</v>
      </c>
      <c r="B31" s="31"/>
      <c r="C31" s="105">
        <v>140</v>
      </c>
      <c r="D31" s="106">
        <f t="shared" si="26"/>
        <v>54600</v>
      </c>
      <c r="E31" s="135">
        <f t="shared" si="19"/>
        <v>5396.31</v>
      </c>
      <c r="F31" s="135">
        <f t="shared" si="6"/>
        <v>7401.58</v>
      </c>
      <c r="G31" s="135">
        <f t="shared" si="27"/>
        <v>12797.89</v>
      </c>
      <c r="H31" s="136"/>
      <c r="I31" s="135">
        <f t="shared" si="7"/>
        <v>6406.95</v>
      </c>
      <c r="J31" s="135">
        <f t="shared" si="8"/>
        <v>7401.58</v>
      </c>
      <c r="K31" s="135">
        <f t="shared" si="21"/>
        <v>13808.529999999999</v>
      </c>
      <c r="L31" s="136"/>
      <c r="M31" s="135">
        <f t="shared" si="22"/>
        <v>1010.6399999999994</v>
      </c>
      <c r="N31" s="137">
        <f t="shared" si="23"/>
        <v>7.8969267590204284E-2</v>
      </c>
      <c r="O31" s="135"/>
      <c r="P31" s="135">
        <f t="shared" si="11"/>
        <v>6568.02</v>
      </c>
      <c r="Q31" s="135">
        <f t="shared" si="12"/>
        <v>7401.58</v>
      </c>
      <c r="R31" s="135">
        <f t="shared" si="24"/>
        <v>13969.6</v>
      </c>
      <c r="S31" s="136"/>
      <c r="T31" s="135">
        <f t="shared" si="13"/>
        <v>161.07000000000153</v>
      </c>
      <c r="U31" s="137">
        <f t="shared" si="14"/>
        <v>1.1664529099042515E-2</v>
      </c>
      <c r="V31" s="135"/>
      <c r="W31" s="135">
        <f t="shared" si="15"/>
        <v>6557.1</v>
      </c>
      <c r="X31" s="135">
        <f t="shared" si="16"/>
        <v>7401.58</v>
      </c>
      <c r="Y31" s="135">
        <f t="shared" si="25"/>
        <v>13958.68</v>
      </c>
      <c r="Z31" s="136"/>
      <c r="AA31" s="135">
        <f t="shared" si="17"/>
        <v>-10.920000000000073</v>
      </c>
      <c r="AB31" s="137">
        <f t="shared" si="18"/>
        <v>-7.8169740006872579E-4</v>
      </c>
      <c r="AC31" s="17"/>
      <c r="AD31" s="37"/>
    </row>
    <row r="32" spans="1:30" x14ac:dyDescent="0.3">
      <c r="A32" s="1">
        <f t="shared" si="0"/>
        <v>32</v>
      </c>
      <c r="B32" s="31"/>
      <c r="C32" s="105">
        <v>160</v>
      </c>
      <c r="D32" s="106">
        <f t="shared" si="26"/>
        <v>62400</v>
      </c>
      <c r="E32" s="135">
        <f t="shared" si="19"/>
        <v>6246.35</v>
      </c>
      <c r="F32" s="135">
        <f>ROUND($D32*$G$96,2)</f>
        <v>8458.94</v>
      </c>
      <c r="G32" s="135">
        <f t="shared" si="27"/>
        <v>14705.29</v>
      </c>
      <c r="H32" s="136"/>
      <c r="I32" s="135">
        <f t="shared" si="7"/>
        <v>7401.38</v>
      </c>
      <c r="J32" s="135">
        <f t="shared" si="8"/>
        <v>8458.94</v>
      </c>
      <c r="K32" s="135">
        <f t="shared" si="21"/>
        <v>15860.32</v>
      </c>
      <c r="L32" s="136"/>
      <c r="M32" s="135">
        <f t="shared" si="22"/>
        <v>1155.0299999999988</v>
      </c>
      <c r="N32" s="137">
        <f t="shared" si="23"/>
        <v>7.854520380080901E-2</v>
      </c>
      <c r="O32" s="135"/>
      <c r="P32" s="135">
        <f>ROUND(IF($C32&lt;=150,$J$90,IF($C32&lt;=300,$J$91,IF($C32&lt;=1000,$J$92,$J$93)))+$C32*$J$94+$D32*$J$95,2)</f>
        <v>7585.46</v>
      </c>
      <c r="Q32" s="135">
        <f t="shared" si="12"/>
        <v>8458.94</v>
      </c>
      <c r="R32" s="135">
        <f t="shared" si="24"/>
        <v>16044.400000000001</v>
      </c>
      <c r="S32" s="136"/>
      <c r="T32" s="135">
        <f t="shared" si="13"/>
        <v>184.08000000000175</v>
      </c>
      <c r="U32" s="137">
        <f t="shared" si="14"/>
        <v>1.1606323201549638E-2</v>
      </c>
      <c r="V32" s="135"/>
      <c r="W32" s="135">
        <f>ROUND(IF($C32&lt;=150,$K$90,IF($C32&lt;=300,$K$91,IF($C32&lt;=1000,$K$92,$K$93)))+$C32*$K$94+$D32*$K$95,2)</f>
        <v>7572.98</v>
      </c>
      <c r="X32" s="135">
        <f>ROUND($D32*$K$96,2)</f>
        <v>8458.94</v>
      </c>
      <c r="Y32" s="135">
        <f t="shared" si="25"/>
        <v>16031.92</v>
      </c>
      <c r="Z32" s="136"/>
      <c r="AA32" s="135">
        <f t="shared" si="17"/>
        <v>-12.480000000001382</v>
      </c>
      <c r="AB32" s="137">
        <f t="shared" si="18"/>
        <v>-7.7784148986570901E-4</v>
      </c>
      <c r="AC32" s="17"/>
      <c r="AD32" s="37"/>
    </row>
    <row r="33" spans="1:30" x14ac:dyDescent="0.3">
      <c r="A33" s="1">
        <f t="shared" si="0"/>
        <v>33</v>
      </c>
      <c r="B33" s="31"/>
      <c r="C33" s="105">
        <v>200</v>
      </c>
      <c r="D33" s="106">
        <f t="shared" si="26"/>
        <v>78000</v>
      </c>
      <c r="E33" s="135">
        <f t="shared" si="19"/>
        <v>7780.44</v>
      </c>
      <c r="F33" s="135">
        <f t="shared" si="6"/>
        <v>10573.68</v>
      </c>
      <c r="G33" s="135">
        <f t="shared" si="27"/>
        <v>18354.12</v>
      </c>
      <c r="H33" s="136"/>
      <c r="I33" s="135">
        <f>ROUND(IF($C33&lt;=150,$I$90,IF($C33&lt;=300,$I$91,IF($C33&lt;=1000,$I$92,$I$93)))+$C33*$I$94+$D33*$I$95,2)</f>
        <v>9224.2199999999993</v>
      </c>
      <c r="J33" s="135">
        <f t="shared" si="8"/>
        <v>10573.68</v>
      </c>
      <c r="K33" s="135">
        <f t="shared" si="21"/>
        <v>19797.900000000001</v>
      </c>
      <c r="L33" s="136"/>
      <c r="M33" s="135">
        <f t="shared" si="22"/>
        <v>1443.7800000000025</v>
      </c>
      <c r="N33" s="137">
        <f t="shared" si="23"/>
        <v>7.8662447450490822E-2</v>
      </c>
      <c r="O33" s="135"/>
      <c r="P33" s="135">
        <f t="shared" si="11"/>
        <v>9454.32</v>
      </c>
      <c r="Q33" s="135">
        <f>ROUND($D33*$J$96,2)</f>
        <v>10573.68</v>
      </c>
      <c r="R33" s="135">
        <f t="shared" si="24"/>
        <v>20028</v>
      </c>
      <c r="S33" s="136"/>
      <c r="T33" s="135">
        <f t="shared" si="13"/>
        <v>230.09999999999854</v>
      </c>
      <c r="U33" s="137">
        <f t="shared" si="14"/>
        <v>1.1622444804751945E-2</v>
      </c>
      <c r="V33" s="135"/>
      <c r="W33" s="135">
        <f t="shared" si="15"/>
        <v>9438.7199999999993</v>
      </c>
      <c r="X33" s="135">
        <f t="shared" si="16"/>
        <v>10573.68</v>
      </c>
      <c r="Y33" s="135">
        <f t="shared" si="25"/>
        <v>20012.400000000001</v>
      </c>
      <c r="Z33" s="136"/>
      <c r="AA33" s="135">
        <f t="shared" si="17"/>
        <v>-15.599999999998545</v>
      </c>
      <c r="AB33" s="137">
        <f t="shared" si="18"/>
        <v>-7.7890952666259965E-4</v>
      </c>
      <c r="AC33" s="17"/>
      <c r="AD33" s="37"/>
    </row>
    <row r="34" spans="1:30" x14ac:dyDescent="0.3">
      <c r="A34" s="1">
        <f t="shared" si="0"/>
        <v>34</v>
      </c>
      <c r="B34" s="31"/>
      <c r="C34" s="105">
        <v>230</v>
      </c>
      <c r="D34" s="106">
        <f t="shared" si="26"/>
        <v>89700</v>
      </c>
      <c r="E34" s="135">
        <f>ROUND(IF($C34&lt;=150,$G$90,IF($C34&lt;=300,$G$91,IF($C34&lt;=1000,$G$92,$G$93)))+$C34*$G$94+$D34*$G$95,2)</f>
        <v>8931.01</v>
      </c>
      <c r="F34" s="135">
        <f t="shared" si="6"/>
        <v>12159.73</v>
      </c>
      <c r="G34" s="135">
        <f t="shared" si="27"/>
        <v>21090.739999999998</v>
      </c>
      <c r="H34" s="136"/>
      <c r="I34" s="135">
        <f t="shared" si="7"/>
        <v>10591.35</v>
      </c>
      <c r="J34" s="135">
        <f t="shared" si="8"/>
        <v>12159.73</v>
      </c>
      <c r="K34" s="135">
        <f t="shared" si="21"/>
        <v>22751.08</v>
      </c>
      <c r="L34" s="136"/>
      <c r="M34" s="135">
        <f t="shared" si="22"/>
        <v>1660.3400000000038</v>
      </c>
      <c r="N34" s="137">
        <f t="shared" si="23"/>
        <v>7.8723648387870881E-2</v>
      </c>
      <c r="O34" s="135"/>
      <c r="P34" s="135">
        <f t="shared" si="11"/>
        <v>10855.97</v>
      </c>
      <c r="Q34" s="135">
        <f t="shared" si="12"/>
        <v>12159.73</v>
      </c>
      <c r="R34" s="135">
        <f t="shared" si="24"/>
        <v>23015.699999999997</v>
      </c>
      <c r="S34" s="136"/>
      <c r="T34" s="135">
        <f t="shared" si="13"/>
        <v>264.61999999999534</v>
      </c>
      <c r="U34" s="137">
        <f t="shared" si="14"/>
        <v>1.1631096194114536E-2</v>
      </c>
      <c r="V34" s="135"/>
      <c r="W34" s="135">
        <f t="shared" si="15"/>
        <v>10838.03</v>
      </c>
      <c r="X34" s="135">
        <f t="shared" si="16"/>
        <v>12159.73</v>
      </c>
      <c r="Y34" s="135">
        <f t="shared" si="25"/>
        <v>22997.760000000002</v>
      </c>
      <c r="Z34" s="136"/>
      <c r="AA34" s="135">
        <f t="shared" si="17"/>
        <v>-17.939999999995052</v>
      </c>
      <c r="AB34" s="137">
        <f t="shared" si="18"/>
        <v>-7.7946792841386765E-4</v>
      </c>
      <c r="AC34" s="17"/>
      <c r="AD34" s="37"/>
    </row>
    <row r="35" spans="1:30" x14ac:dyDescent="0.3">
      <c r="A35" s="1">
        <f t="shared" si="0"/>
        <v>35</v>
      </c>
      <c r="B35" s="31"/>
      <c r="C35" s="105">
        <v>300</v>
      </c>
      <c r="D35" s="106">
        <f t="shared" si="26"/>
        <v>117000</v>
      </c>
      <c r="E35" s="135">
        <f t="shared" si="19"/>
        <v>11615.66</v>
      </c>
      <c r="F35" s="135">
        <f t="shared" si="6"/>
        <v>15860.52</v>
      </c>
      <c r="G35" s="135">
        <f t="shared" si="27"/>
        <v>27476.18</v>
      </c>
      <c r="H35" s="136"/>
      <c r="I35" s="135">
        <f t="shared" si="7"/>
        <v>13781.33</v>
      </c>
      <c r="J35" s="135">
        <f>ROUND($D35*$I$96,2)</f>
        <v>15860.52</v>
      </c>
      <c r="K35" s="135">
        <f t="shared" si="21"/>
        <v>29641.85</v>
      </c>
      <c r="L35" s="136"/>
      <c r="M35" s="135">
        <f t="shared" si="22"/>
        <v>2165.6699999999983</v>
      </c>
      <c r="N35" s="137">
        <f t="shared" si="23"/>
        <v>7.8819908735493729E-2</v>
      </c>
      <c r="O35" s="135"/>
      <c r="P35" s="135">
        <f t="shared" si="11"/>
        <v>14126.48</v>
      </c>
      <c r="Q35" s="135">
        <f t="shared" si="12"/>
        <v>15860.52</v>
      </c>
      <c r="R35" s="135">
        <f t="shared" si="24"/>
        <v>29987</v>
      </c>
      <c r="S35" s="136"/>
      <c r="T35" s="135">
        <f t="shared" si="13"/>
        <v>345.15000000000146</v>
      </c>
      <c r="U35" s="137">
        <f t="shared" si="14"/>
        <v>1.1644010073595321E-2</v>
      </c>
      <c r="V35" s="135"/>
      <c r="W35" s="135">
        <f t="shared" si="15"/>
        <v>14103.08</v>
      </c>
      <c r="X35" s="135">
        <f t="shared" si="16"/>
        <v>15860.52</v>
      </c>
      <c r="Y35" s="135">
        <f t="shared" si="25"/>
        <v>29963.599999999999</v>
      </c>
      <c r="Z35" s="136"/>
      <c r="AA35" s="135">
        <f t="shared" si="17"/>
        <v>-23.400000000001455</v>
      </c>
      <c r="AB35" s="137">
        <f t="shared" si="18"/>
        <v>-7.8033814653021157E-4</v>
      </c>
      <c r="AC35" s="17"/>
      <c r="AD35" s="37"/>
    </row>
    <row r="36" spans="1:30" x14ac:dyDescent="0.3">
      <c r="A36" s="1">
        <f t="shared" si="0"/>
        <v>36</v>
      </c>
      <c r="B36" s="31"/>
      <c r="C36" s="105">
        <v>400</v>
      </c>
      <c r="D36" s="106">
        <f t="shared" si="26"/>
        <v>156000</v>
      </c>
      <c r="E36" s="135">
        <f t="shared" si="19"/>
        <v>15500.88</v>
      </c>
      <c r="F36" s="135">
        <f t="shared" si="6"/>
        <v>21147.360000000001</v>
      </c>
      <c r="G36" s="135">
        <f t="shared" si="27"/>
        <v>36648.239999999998</v>
      </c>
      <c r="H36" s="136"/>
      <c r="I36" s="135">
        <f t="shared" si="7"/>
        <v>18388.439999999999</v>
      </c>
      <c r="J36" s="135">
        <f t="shared" si="8"/>
        <v>21147.360000000001</v>
      </c>
      <c r="K36" s="135">
        <f t="shared" si="21"/>
        <v>39535.800000000003</v>
      </c>
      <c r="L36" s="136"/>
      <c r="M36" s="135">
        <f t="shared" si="22"/>
        <v>2887.5600000000049</v>
      </c>
      <c r="N36" s="137">
        <f t="shared" si="23"/>
        <v>7.8791232539407216E-2</v>
      </c>
      <c r="O36" s="135"/>
      <c r="P36" s="135">
        <f t="shared" si="11"/>
        <v>18848.64</v>
      </c>
      <c r="Q36" s="135">
        <f t="shared" si="12"/>
        <v>21147.360000000001</v>
      </c>
      <c r="R36" s="135">
        <f t="shared" si="24"/>
        <v>39996</v>
      </c>
      <c r="S36" s="136"/>
      <c r="T36" s="135">
        <f t="shared" si="13"/>
        <v>460.19999999999709</v>
      </c>
      <c r="U36" s="137">
        <f t="shared" si="14"/>
        <v>1.1640083165131276E-2</v>
      </c>
      <c r="V36" s="135"/>
      <c r="W36" s="135">
        <f t="shared" si="15"/>
        <v>18817.439999999999</v>
      </c>
      <c r="X36" s="135">
        <f t="shared" si="16"/>
        <v>21147.360000000001</v>
      </c>
      <c r="Y36" s="135">
        <f t="shared" si="25"/>
        <v>39964.800000000003</v>
      </c>
      <c r="Z36" s="136"/>
      <c r="AA36" s="135">
        <f t="shared" si="17"/>
        <v>-31.19999999999709</v>
      </c>
      <c r="AB36" s="137">
        <f t="shared" si="18"/>
        <v>-7.8007800780070726E-4</v>
      </c>
      <c r="AC36" s="17"/>
      <c r="AD36" s="37"/>
    </row>
    <row r="37" spans="1:30" x14ac:dyDescent="0.3">
      <c r="A37" s="1">
        <f t="shared" si="0"/>
        <v>37</v>
      </c>
      <c r="B37" s="31"/>
      <c r="C37" s="105">
        <v>1100</v>
      </c>
      <c r="D37" s="106">
        <f t="shared" si="26"/>
        <v>429000</v>
      </c>
      <c r="E37" s="135">
        <f t="shared" si="19"/>
        <v>42557.42</v>
      </c>
      <c r="F37" s="135">
        <f t="shared" si="6"/>
        <v>58155.24</v>
      </c>
      <c r="G37" s="135">
        <f t="shared" si="27"/>
        <v>100712.66</v>
      </c>
      <c r="H37" s="136"/>
      <c r="I37" s="135">
        <f t="shared" si="7"/>
        <v>50498.21</v>
      </c>
      <c r="J37" s="135">
        <f t="shared" si="8"/>
        <v>58155.24</v>
      </c>
      <c r="K37" s="135">
        <f t="shared" si="21"/>
        <v>108653.45</v>
      </c>
      <c r="L37" s="136"/>
      <c r="M37" s="135">
        <f t="shared" si="22"/>
        <v>7940.7899999999936</v>
      </c>
      <c r="N37" s="137">
        <f t="shared" si="23"/>
        <v>7.8845996124022474E-2</v>
      </c>
      <c r="O37" s="135"/>
      <c r="P37" s="135">
        <f t="shared" si="11"/>
        <v>51763.76</v>
      </c>
      <c r="Q37" s="135">
        <f t="shared" si="12"/>
        <v>58155.24</v>
      </c>
      <c r="R37" s="135">
        <f t="shared" si="24"/>
        <v>109919</v>
      </c>
      <c r="S37" s="136"/>
      <c r="T37" s="135">
        <f t="shared" si="13"/>
        <v>1265.5500000000029</v>
      </c>
      <c r="U37" s="137">
        <f t="shared" si="14"/>
        <v>1.1647582290300058E-2</v>
      </c>
      <c r="V37" s="135"/>
      <c r="W37" s="135">
        <f t="shared" si="15"/>
        <v>51677.96</v>
      </c>
      <c r="X37" s="135">
        <f t="shared" si="16"/>
        <v>58155.24</v>
      </c>
      <c r="Y37" s="135">
        <f t="shared" si="25"/>
        <v>109833.2</v>
      </c>
      <c r="Z37" s="136"/>
      <c r="AA37" s="135">
        <f t="shared" si="17"/>
        <v>-85.80000000000291</v>
      </c>
      <c r="AB37" s="137">
        <f t="shared" si="18"/>
        <v>-7.8057478688855347E-4</v>
      </c>
      <c r="AC37" s="17"/>
      <c r="AD37" s="37"/>
    </row>
    <row r="38" spans="1:30" x14ac:dyDescent="0.3">
      <c r="A38" s="1">
        <f t="shared" si="0"/>
        <v>38</v>
      </c>
      <c r="B38" s="31" t="s">
        <v>52</v>
      </c>
      <c r="C38" s="106">
        <v>285</v>
      </c>
      <c r="D38" s="106">
        <f t="shared" si="26"/>
        <v>111150</v>
      </c>
      <c r="E38" s="135">
        <f t="shared" si="19"/>
        <v>11040.38</v>
      </c>
      <c r="F38" s="135">
        <f t="shared" si="6"/>
        <v>15067.49</v>
      </c>
      <c r="G38" s="135">
        <f t="shared" si="27"/>
        <v>26107.87</v>
      </c>
      <c r="H38" s="136"/>
      <c r="I38" s="135">
        <f t="shared" si="7"/>
        <v>13097.76</v>
      </c>
      <c r="J38" s="135">
        <f t="shared" si="8"/>
        <v>15067.49</v>
      </c>
      <c r="K38" s="135">
        <f t="shared" si="21"/>
        <v>28165.25</v>
      </c>
      <c r="L38" s="136"/>
      <c r="M38" s="135">
        <f t="shared" si="22"/>
        <v>2057.380000000001</v>
      </c>
      <c r="N38" s="137">
        <f t="shared" si="23"/>
        <v>7.8803058234930737E-2</v>
      </c>
      <c r="O38" s="135"/>
      <c r="P38" s="135">
        <f t="shared" si="11"/>
        <v>13425.66</v>
      </c>
      <c r="Q38" s="135">
        <f t="shared" si="12"/>
        <v>15067.49</v>
      </c>
      <c r="R38" s="135">
        <f t="shared" si="24"/>
        <v>28493.15</v>
      </c>
      <c r="S38" s="136"/>
      <c r="T38" s="135">
        <f t="shared" si="13"/>
        <v>327.90000000000146</v>
      </c>
      <c r="U38" s="137">
        <f t="shared" si="14"/>
        <v>1.1642005663006771E-2</v>
      </c>
      <c r="V38" s="135"/>
      <c r="W38" s="135">
        <f t="shared" si="15"/>
        <v>13403.43</v>
      </c>
      <c r="X38" s="135">
        <f t="shared" si="16"/>
        <v>15067.49</v>
      </c>
      <c r="Y38" s="135">
        <f t="shared" si="25"/>
        <v>28470.92</v>
      </c>
      <c r="Z38" s="136"/>
      <c r="AA38" s="135">
        <f t="shared" si="17"/>
        <v>-22.230000000003201</v>
      </c>
      <c r="AB38" s="137">
        <f t="shared" si="18"/>
        <v>-7.8018751875461999E-4</v>
      </c>
      <c r="AC38" s="17"/>
      <c r="AD38" s="37"/>
    </row>
    <row r="39" spans="1:30" x14ac:dyDescent="0.3">
      <c r="A39" s="1">
        <f t="shared" si="0"/>
        <v>39</v>
      </c>
      <c r="B39" s="31"/>
      <c r="C39" s="130"/>
      <c r="D39" s="158"/>
      <c r="E39" s="135"/>
      <c r="F39" s="135"/>
      <c r="G39" s="153"/>
      <c r="H39" s="159"/>
      <c r="I39" s="135"/>
      <c r="J39" s="135"/>
      <c r="K39" s="159"/>
      <c r="L39" s="159"/>
      <c r="M39" s="159"/>
      <c r="O39" s="159"/>
      <c r="P39" s="135"/>
      <c r="Q39" s="135"/>
      <c r="R39" s="159"/>
      <c r="S39" s="159"/>
      <c r="T39" s="135"/>
      <c r="U39" s="137"/>
      <c r="V39" s="159"/>
      <c r="W39" s="135"/>
      <c r="X39" s="135"/>
      <c r="Y39" s="159"/>
      <c r="Z39" s="159"/>
      <c r="AA39" s="135"/>
      <c r="AB39" s="137"/>
      <c r="AC39" s="188"/>
      <c r="AD39" s="37"/>
    </row>
    <row r="40" spans="1:30" x14ac:dyDescent="0.3">
      <c r="A40" s="1">
        <f t="shared" si="0"/>
        <v>40</v>
      </c>
      <c r="B40" s="31"/>
      <c r="C40" s="164" t="s">
        <v>126</v>
      </c>
      <c r="D40" s="104">
        <v>535</v>
      </c>
      <c r="E40" s="135"/>
      <c r="F40" s="135"/>
      <c r="G40" s="136"/>
      <c r="H40" s="136"/>
      <c r="I40" s="135"/>
      <c r="J40" s="135"/>
      <c r="K40" s="136"/>
      <c r="L40" s="136"/>
      <c r="M40" s="136"/>
      <c r="O40" s="136"/>
      <c r="P40" s="135"/>
      <c r="Q40" s="135"/>
      <c r="R40" s="136"/>
      <c r="S40" s="136"/>
      <c r="T40" s="135"/>
      <c r="U40" s="137"/>
      <c r="V40" s="136"/>
      <c r="W40" s="135"/>
      <c r="X40" s="135"/>
      <c r="Y40" s="136"/>
      <c r="Z40" s="136"/>
      <c r="AA40" s="135"/>
      <c r="AB40" s="137"/>
      <c r="AC40" s="188"/>
      <c r="AD40" s="37"/>
    </row>
    <row r="41" spans="1:30" x14ac:dyDescent="0.3">
      <c r="A41" s="1">
        <f t="shared" si="0"/>
        <v>41</v>
      </c>
      <c r="B41" s="31"/>
      <c r="C41" s="105">
        <v>80</v>
      </c>
      <c r="D41" s="106">
        <f>C41*$D$40</f>
        <v>42800</v>
      </c>
      <c r="E41" s="135">
        <f t="shared" si="19"/>
        <v>3303.74</v>
      </c>
      <c r="F41" s="135">
        <f t="shared" si="6"/>
        <v>5801.97</v>
      </c>
      <c r="G41" s="135">
        <f t="shared" ref="G41:G51" si="28">SUM(E41:F41)</f>
        <v>9105.7099999999991</v>
      </c>
      <c r="H41" s="136"/>
      <c r="I41" s="135">
        <f t="shared" si="7"/>
        <v>4095.97</v>
      </c>
      <c r="J41" s="135">
        <f t="shared" si="8"/>
        <v>5801.97</v>
      </c>
      <c r="K41" s="135">
        <f t="shared" ref="K41:K51" si="29">SUM(I41:J41)</f>
        <v>9897.94</v>
      </c>
      <c r="L41" s="136"/>
      <c r="M41" s="135">
        <f t="shared" ref="M41:M51" si="30">+K41-G41</f>
        <v>792.23000000000138</v>
      </c>
      <c r="N41" s="137">
        <f t="shared" ref="N41:N51" si="31">+M41/G41</f>
        <v>8.7003649358479623E-2</v>
      </c>
      <c r="O41" s="135"/>
      <c r="P41" s="135">
        <f t="shared" si="11"/>
        <v>4222.2299999999996</v>
      </c>
      <c r="Q41" s="135">
        <f t="shared" si="12"/>
        <v>5801.97</v>
      </c>
      <c r="R41" s="135">
        <f t="shared" ref="R41:R51" si="32">SUM(P41:Q41)</f>
        <v>10024.200000000001</v>
      </c>
      <c r="S41" s="136"/>
      <c r="T41" s="135">
        <f t="shared" si="13"/>
        <v>126.26000000000022</v>
      </c>
      <c r="U41" s="137">
        <f t="shared" si="14"/>
        <v>1.2756189671790314E-2</v>
      </c>
      <c r="V41" s="135"/>
      <c r="W41" s="135">
        <f t="shared" si="15"/>
        <v>4213.67</v>
      </c>
      <c r="X41" s="135">
        <f t="shared" si="16"/>
        <v>5801.97</v>
      </c>
      <c r="Y41" s="135">
        <f t="shared" ref="Y41:Y51" si="33">SUM(W41:X41)</f>
        <v>10015.64</v>
      </c>
      <c r="Z41" s="136"/>
      <c r="AA41" s="135">
        <f t="shared" si="17"/>
        <v>-8.5600000000013097</v>
      </c>
      <c r="AB41" s="137">
        <f t="shared" si="18"/>
        <v>-8.5393348097616859E-4</v>
      </c>
      <c r="AC41" s="17"/>
      <c r="AD41" s="37"/>
    </row>
    <row r="42" spans="1:30" x14ac:dyDescent="0.3">
      <c r="A42" s="1">
        <f t="shared" si="0"/>
        <v>42</v>
      </c>
      <c r="B42" s="31"/>
      <c r="C42" s="105">
        <v>110</v>
      </c>
      <c r="D42" s="106">
        <f t="shared" ref="D42:D51" si="34">C42*$D$40</f>
        <v>58850</v>
      </c>
      <c r="E42" s="135">
        <f t="shared" si="19"/>
        <v>4532.5200000000004</v>
      </c>
      <c r="F42" s="135">
        <f t="shared" si="6"/>
        <v>7977.71</v>
      </c>
      <c r="G42" s="135">
        <f t="shared" si="28"/>
        <v>12510.23</v>
      </c>
      <c r="H42" s="136"/>
      <c r="I42" s="135">
        <f t="shared" si="7"/>
        <v>5621.84</v>
      </c>
      <c r="J42" s="135">
        <f t="shared" si="8"/>
        <v>7977.71</v>
      </c>
      <c r="K42" s="135">
        <f t="shared" si="29"/>
        <v>13599.55</v>
      </c>
      <c r="L42" s="136"/>
      <c r="M42" s="135">
        <f t="shared" si="30"/>
        <v>1089.3199999999997</v>
      </c>
      <c r="N42" s="137">
        <f t="shared" si="31"/>
        <v>8.707433836148494E-2</v>
      </c>
      <c r="O42" s="135"/>
      <c r="P42" s="135">
        <f t="shared" si="11"/>
        <v>5795.44</v>
      </c>
      <c r="Q42" s="135">
        <f t="shared" si="12"/>
        <v>7977.71</v>
      </c>
      <c r="R42" s="135">
        <f t="shared" si="32"/>
        <v>13773.15</v>
      </c>
      <c r="S42" s="136"/>
      <c r="T42" s="135">
        <f t="shared" si="13"/>
        <v>173.60000000000036</v>
      </c>
      <c r="U42" s="137">
        <f t="shared" si="14"/>
        <v>1.2765128257920326E-2</v>
      </c>
      <c r="V42" s="135"/>
      <c r="W42" s="135">
        <f t="shared" si="15"/>
        <v>5783.67</v>
      </c>
      <c r="X42" s="135">
        <f t="shared" si="16"/>
        <v>7977.71</v>
      </c>
      <c r="Y42" s="135">
        <f t="shared" si="33"/>
        <v>13761.380000000001</v>
      </c>
      <c r="Z42" s="136"/>
      <c r="AA42" s="135">
        <f t="shared" si="17"/>
        <v>-11.769999999998618</v>
      </c>
      <c r="AB42" s="137">
        <f t="shared" si="18"/>
        <v>-8.5456122963872589E-4</v>
      </c>
      <c r="AC42" s="17"/>
      <c r="AD42" s="37"/>
    </row>
    <row r="43" spans="1:30" x14ac:dyDescent="0.3">
      <c r="A43" s="1">
        <f t="shared" si="0"/>
        <v>43</v>
      </c>
      <c r="B43" s="31"/>
      <c r="C43" s="105">
        <v>135</v>
      </c>
      <c r="D43" s="106">
        <f t="shared" si="34"/>
        <v>72225</v>
      </c>
      <c r="E43" s="135">
        <f t="shared" si="19"/>
        <v>5556.51</v>
      </c>
      <c r="F43" s="135">
        <f t="shared" si="6"/>
        <v>9790.82</v>
      </c>
      <c r="G43" s="135">
        <f t="shared" si="28"/>
        <v>15347.33</v>
      </c>
      <c r="H43" s="136"/>
      <c r="I43" s="135">
        <f t="shared" si="7"/>
        <v>6893.39</v>
      </c>
      <c r="J43" s="135">
        <f t="shared" si="8"/>
        <v>9790.82</v>
      </c>
      <c r="K43" s="135">
        <f t="shared" si="29"/>
        <v>16684.21</v>
      </c>
      <c r="L43" s="136"/>
      <c r="M43" s="135">
        <f t="shared" si="30"/>
        <v>1336.8799999999992</v>
      </c>
      <c r="N43" s="137">
        <f t="shared" si="31"/>
        <v>8.7108311347967315E-2</v>
      </c>
      <c r="O43" s="135"/>
      <c r="P43" s="135">
        <f t="shared" si="11"/>
        <v>7106.45</v>
      </c>
      <c r="Q43" s="135">
        <f t="shared" si="12"/>
        <v>9790.82</v>
      </c>
      <c r="R43" s="135">
        <f t="shared" si="32"/>
        <v>16897.27</v>
      </c>
      <c r="S43" s="136"/>
      <c r="T43" s="135">
        <f t="shared" si="13"/>
        <v>213.06000000000131</v>
      </c>
      <c r="U43" s="137">
        <f t="shared" si="14"/>
        <v>1.2770158131550809E-2</v>
      </c>
      <c r="V43" s="135"/>
      <c r="W43" s="135">
        <f t="shared" si="15"/>
        <v>7092.01</v>
      </c>
      <c r="X43" s="135">
        <f t="shared" si="16"/>
        <v>9790.82</v>
      </c>
      <c r="Y43" s="135">
        <f t="shared" si="33"/>
        <v>16882.830000000002</v>
      </c>
      <c r="Z43" s="136"/>
      <c r="AA43" s="135">
        <f t="shared" si="17"/>
        <v>-14.43999999999869</v>
      </c>
      <c r="AB43" s="137">
        <f t="shared" si="18"/>
        <v>-8.5457591670125939E-4</v>
      </c>
      <c r="AC43" s="17"/>
      <c r="AD43" s="37"/>
    </row>
    <row r="44" spans="1:30" x14ac:dyDescent="0.3">
      <c r="A44" s="1">
        <f t="shared" si="0"/>
        <v>44</v>
      </c>
      <c r="B44" s="31"/>
      <c r="C44" s="105">
        <v>160</v>
      </c>
      <c r="D44" s="106">
        <f t="shared" si="34"/>
        <v>85600</v>
      </c>
      <c r="E44" s="135">
        <f t="shared" si="19"/>
        <v>6663.49</v>
      </c>
      <c r="F44" s="135">
        <f t="shared" si="6"/>
        <v>11603.94</v>
      </c>
      <c r="G44" s="135">
        <f t="shared" si="28"/>
        <v>18267.43</v>
      </c>
      <c r="H44" s="136"/>
      <c r="I44" s="135">
        <f t="shared" si="7"/>
        <v>8247.94</v>
      </c>
      <c r="J44" s="135">
        <f t="shared" si="8"/>
        <v>11603.94</v>
      </c>
      <c r="K44" s="135">
        <f t="shared" si="29"/>
        <v>19851.88</v>
      </c>
      <c r="L44" s="136"/>
      <c r="M44" s="135">
        <f t="shared" si="30"/>
        <v>1584.4500000000007</v>
      </c>
      <c r="N44" s="137">
        <f t="shared" si="31"/>
        <v>8.6736338937661223E-2</v>
      </c>
      <c r="O44" s="135"/>
      <c r="P44" s="135">
        <f t="shared" si="11"/>
        <v>8500.4599999999991</v>
      </c>
      <c r="Q44" s="135">
        <f t="shared" si="12"/>
        <v>11603.94</v>
      </c>
      <c r="R44" s="135">
        <f t="shared" si="32"/>
        <v>20104.400000000001</v>
      </c>
      <c r="S44" s="136"/>
      <c r="T44" s="135">
        <f t="shared" si="13"/>
        <v>252.52000000000044</v>
      </c>
      <c r="U44" s="137">
        <f t="shared" si="14"/>
        <v>1.2720205844484272E-2</v>
      </c>
      <c r="V44" s="135"/>
      <c r="W44" s="135">
        <f t="shared" si="15"/>
        <v>8483.34</v>
      </c>
      <c r="X44" s="135">
        <f t="shared" si="16"/>
        <v>11603.94</v>
      </c>
      <c r="Y44" s="135">
        <f t="shared" si="33"/>
        <v>20087.28</v>
      </c>
      <c r="Z44" s="136"/>
      <c r="AA44" s="135">
        <f t="shared" si="17"/>
        <v>-17.120000000002619</v>
      </c>
      <c r="AB44" s="137">
        <f t="shared" si="18"/>
        <v>-8.51554883508218E-4</v>
      </c>
      <c r="AC44" s="17"/>
      <c r="AD44" s="37"/>
    </row>
    <row r="45" spans="1:30" x14ac:dyDescent="0.3">
      <c r="A45" s="1">
        <f t="shared" si="0"/>
        <v>45</v>
      </c>
      <c r="B45" s="31"/>
      <c r="C45" s="105">
        <v>190</v>
      </c>
      <c r="D45" s="106">
        <f t="shared" si="34"/>
        <v>101650</v>
      </c>
      <c r="E45" s="135">
        <f t="shared" si="19"/>
        <v>7892.27</v>
      </c>
      <c r="F45" s="135">
        <f t="shared" si="6"/>
        <v>13779.67</v>
      </c>
      <c r="G45" s="135">
        <f t="shared" si="28"/>
        <v>21671.940000000002</v>
      </c>
      <c r="H45" s="136"/>
      <c r="I45" s="135">
        <f>ROUND(IF($C45&lt;=150,$I$90,IF($C45&lt;=300,$I$91,IF($C45&lt;=1000,$I$92,$I$93)))+$C45*$I$94+$D45*$I$95,2)</f>
        <v>9773.81</v>
      </c>
      <c r="J45" s="135">
        <f t="shared" si="8"/>
        <v>13779.67</v>
      </c>
      <c r="K45" s="135">
        <f t="shared" si="29"/>
        <v>23553.48</v>
      </c>
      <c r="L45" s="136"/>
      <c r="M45" s="135">
        <f t="shared" si="30"/>
        <v>1881.5399999999972</v>
      </c>
      <c r="N45" s="137">
        <f t="shared" si="31"/>
        <v>8.6819177240246931E-2</v>
      </c>
      <c r="O45" s="135"/>
      <c r="P45" s="135">
        <f t="shared" si="11"/>
        <v>10073.68</v>
      </c>
      <c r="Q45" s="135">
        <f>ROUND($D45*$J$96,2)</f>
        <v>13779.67</v>
      </c>
      <c r="R45" s="135">
        <f t="shared" si="32"/>
        <v>23853.35</v>
      </c>
      <c r="S45" s="136"/>
      <c r="T45" s="135">
        <f t="shared" si="13"/>
        <v>299.86999999999898</v>
      </c>
      <c r="U45" s="137">
        <f t="shared" si="14"/>
        <v>1.2731451997751457E-2</v>
      </c>
      <c r="V45" s="135"/>
      <c r="W45" s="135">
        <f t="shared" si="15"/>
        <v>10053.35</v>
      </c>
      <c r="X45" s="135">
        <f t="shared" si="16"/>
        <v>13779.67</v>
      </c>
      <c r="Y45" s="135">
        <f t="shared" si="33"/>
        <v>23833.02</v>
      </c>
      <c r="Z45" s="136"/>
      <c r="AA45" s="135">
        <f t="shared" si="17"/>
        <v>-20.329999999998108</v>
      </c>
      <c r="AB45" s="137">
        <f t="shared" si="18"/>
        <v>-8.5229118761088519E-4</v>
      </c>
      <c r="AC45" s="17"/>
      <c r="AD45" s="37"/>
    </row>
    <row r="46" spans="1:30" x14ac:dyDescent="0.3">
      <c r="A46" s="1">
        <f t="shared" si="0"/>
        <v>46</v>
      </c>
      <c r="B46" s="31"/>
      <c r="C46" s="105">
        <v>230</v>
      </c>
      <c r="D46" s="106">
        <f t="shared" si="34"/>
        <v>123050</v>
      </c>
      <c r="E46" s="135">
        <f>ROUND(IF($C46&lt;=150,$G$90,IF($C46&lt;=300,$G$91,IF($C46&lt;=1000,$G$92,$G$93)))+$C46*$G$94+$D46*$G$95,2)</f>
        <v>9530.64</v>
      </c>
      <c r="F46" s="135">
        <f t="shared" si="6"/>
        <v>16680.66</v>
      </c>
      <c r="G46" s="135">
        <f t="shared" si="28"/>
        <v>26211.3</v>
      </c>
      <c r="H46" s="136"/>
      <c r="I46" s="135">
        <f t="shared" si="7"/>
        <v>11808.29</v>
      </c>
      <c r="J46" s="135">
        <f>ROUND($D46*$I$96,2)</f>
        <v>16680.66</v>
      </c>
      <c r="K46" s="135">
        <f t="shared" si="29"/>
        <v>28488.95</v>
      </c>
      <c r="L46" s="136"/>
      <c r="M46" s="135">
        <f t="shared" si="30"/>
        <v>2277.6500000000015</v>
      </c>
      <c r="N46" s="137">
        <f t="shared" si="31"/>
        <v>8.6895728178304835E-2</v>
      </c>
      <c r="O46" s="135"/>
      <c r="P46" s="135">
        <f>ROUND(IF($C46&lt;=150,$J$90,IF($C46&lt;=300,$J$91,IF($C46&lt;=1000,$J$92,$J$93)))+$C46*$J$94+$D46*$J$95,2)</f>
        <v>12171.29</v>
      </c>
      <c r="Q46" s="135">
        <f t="shared" si="12"/>
        <v>16680.66</v>
      </c>
      <c r="R46" s="135">
        <f t="shared" si="32"/>
        <v>28851.95</v>
      </c>
      <c r="S46" s="136"/>
      <c r="T46" s="135">
        <f t="shared" si="13"/>
        <v>363</v>
      </c>
      <c r="U46" s="137">
        <f t="shared" si="14"/>
        <v>1.2741782340170487E-2</v>
      </c>
      <c r="V46" s="135"/>
      <c r="W46" s="135">
        <f>ROUND(IF($C46&lt;=150,$K$90,IF($C46&lt;=300,$K$91,IF($C46&lt;=1000,$K$92,$K$93)))+$C46*$K$94+$D46*$K$95,2)</f>
        <v>12146.68</v>
      </c>
      <c r="X46" s="135">
        <f>ROUND($D46*$K$96,2)</f>
        <v>16680.66</v>
      </c>
      <c r="Y46" s="135">
        <f t="shared" si="33"/>
        <v>28827.34</v>
      </c>
      <c r="Z46" s="136"/>
      <c r="AA46" s="135">
        <f t="shared" si="17"/>
        <v>-24.610000000000582</v>
      </c>
      <c r="AB46" s="137">
        <f t="shared" si="18"/>
        <v>-8.5297527550132939E-4</v>
      </c>
      <c r="AC46" s="17"/>
      <c r="AD46" s="37"/>
    </row>
    <row r="47" spans="1:30" x14ac:dyDescent="0.3">
      <c r="A47" s="1">
        <f t="shared" si="0"/>
        <v>47</v>
      </c>
      <c r="B47" s="31"/>
      <c r="C47" s="105">
        <v>290</v>
      </c>
      <c r="D47" s="106">
        <f t="shared" si="34"/>
        <v>155150</v>
      </c>
      <c r="E47" s="135">
        <f t="shared" si="19"/>
        <v>11988.2</v>
      </c>
      <c r="F47" s="135">
        <f>ROUND($D47*$G$96,2)</f>
        <v>21032.13</v>
      </c>
      <c r="G47" s="135">
        <f t="shared" si="28"/>
        <v>33020.33</v>
      </c>
      <c r="H47" s="136"/>
      <c r="I47" s="135">
        <f t="shared" si="7"/>
        <v>14860.02</v>
      </c>
      <c r="J47" s="135">
        <f t="shared" si="8"/>
        <v>21032.13</v>
      </c>
      <c r="K47" s="135">
        <f t="shared" si="29"/>
        <v>35892.15</v>
      </c>
      <c r="L47" s="136"/>
      <c r="M47" s="135">
        <f t="shared" si="30"/>
        <v>2871.8199999999997</v>
      </c>
      <c r="N47" s="137">
        <f t="shared" si="31"/>
        <v>8.697126891221256E-2</v>
      </c>
      <c r="O47" s="135"/>
      <c r="P47" s="135">
        <f t="shared" si="11"/>
        <v>15317.72</v>
      </c>
      <c r="Q47" s="135">
        <f t="shared" si="12"/>
        <v>21032.13</v>
      </c>
      <c r="R47" s="135">
        <f t="shared" si="32"/>
        <v>36349.85</v>
      </c>
      <c r="S47" s="136"/>
      <c r="T47" s="135">
        <f t="shared" si="13"/>
        <v>457.69999999999709</v>
      </c>
      <c r="U47" s="137">
        <f t="shared" si="14"/>
        <v>1.2752092031265807E-2</v>
      </c>
      <c r="V47" s="135"/>
      <c r="W47" s="135">
        <f t="shared" si="15"/>
        <v>15286.69</v>
      </c>
      <c r="X47" s="135">
        <f t="shared" si="16"/>
        <v>21032.13</v>
      </c>
      <c r="Y47" s="135">
        <f t="shared" si="33"/>
        <v>36318.82</v>
      </c>
      <c r="Z47" s="136"/>
      <c r="AA47" s="135">
        <f t="shared" si="17"/>
        <v>-31.029999999998836</v>
      </c>
      <c r="AB47" s="137">
        <f t="shared" si="18"/>
        <v>-8.5364863954043378E-4</v>
      </c>
      <c r="AC47" s="17"/>
      <c r="AD47" s="37"/>
    </row>
    <row r="48" spans="1:30" x14ac:dyDescent="0.3">
      <c r="A48" s="1">
        <f t="shared" si="0"/>
        <v>48</v>
      </c>
      <c r="B48" s="31"/>
      <c r="C48" s="105">
        <v>360</v>
      </c>
      <c r="D48" s="106">
        <f t="shared" si="34"/>
        <v>192600</v>
      </c>
      <c r="E48" s="135">
        <f t="shared" si="19"/>
        <v>14905.35</v>
      </c>
      <c r="F48" s="135">
        <f t="shared" si="6"/>
        <v>26108.86</v>
      </c>
      <c r="G48" s="135">
        <f t="shared" si="28"/>
        <v>41014.21</v>
      </c>
      <c r="H48" s="136"/>
      <c r="I48" s="135">
        <f t="shared" si="7"/>
        <v>18470.37</v>
      </c>
      <c r="J48" s="135">
        <f t="shared" si="8"/>
        <v>26108.86</v>
      </c>
      <c r="K48" s="135">
        <f t="shared" si="29"/>
        <v>44579.229999999996</v>
      </c>
      <c r="L48" s="136"/>
      <c r="M48" s="135">
        <f t="shared" si="30"/>
        <v>3565.0199999999968</v>
      </c>
      <c r="N48" s="137">
        <f t="shared" si="31"/>
        <v>8.6921581568924447E-2</v>
      </c>
      <c r="O48" s="135"/>
      <c r="P48" s="135">
        <f t="shared" si="11"/>
        <v>19038.54</v>
      </c>
      <c r="Q48" s="135">
        <f t="shared" si="12"/>
        <v>26108.86</v>
      </c>
      <c r="R48" s="135">
        <f t="shared" si="32"/>
        <v>45147.4</v>
      </c>
      <c r="S48" s="136"/>
      <c r="T48" s="135">
        <f t="shared" si="13"/>
        <v>568.17000000000553</v>
      </c>
      <c r="U48" s="137">
        <f t="shared" si="14"/>
        <v>1.274517303237417E-2</v>
      </c>
      <c r="V48" s="135"/>
      <c r="W48" s="135">
        <f t="shared" si="15"/>
        <v>19000.02</v>
      </c>
      <c r="X48" s="135">
        <f t="shared" si="16"/>
        <v>26108.86</v>
      </c>
      <c r="Y48" s="135">
        <f t="shared" si="33"/>
        <v>45108.880000000005</v>
      </c>
      <c r="Z48" s="136"/>
      <c r="AA48" s="135">
        <f t="shared" si="17"/>
        <v>-38.519999999996799</v>
      </c>
      <c r="AB48" s="137">
        <f t="shared" si="18"/>
        <v>-8.5320527870922345E-4</v>
      </c>
      <c r="AC48" s="17"/>
      <c r="AD48" s="37"/>
    </row>
    <row r="49" spans="1:30" x14ac:dyDescent="0.3">
      <c r="A49" s="1">
        <f t="shared" si="0"/>
        <v>49</v>
      </c>
      <c r="B49" s="31"/>
      <c r="C49" s="105">
        <v>500</v>
      </c>
      <c r="D49" s="106">
        <f t="shared" si="34"/>
        <v>267500</v>
      </c>
      <c r="E49" s="135">
        <f t="shared" si="19"/>
        <v>20639.650000000001</v>
      </c>
      <c r="F49" s="135">
        <f t="shared" si="6"/>
        <v>36262.300000000003</v>
      </c>
      <c r="G49" s="135">
        <f t="shared" si="28"/>
        <v>56901.950000000004</v>
      </c>
      <c r="H49" s="136"/>
      <c r="I49" s="135">
        <f t="shared" si="7"/>
        <v>25591.08</v>
      </c>
      <c r="J49" s="135">
        <f t="shared" si="8"/>
        <v>36262.300000000003</v>
      </c>
      <c r="K49" s="135">
        <f t="shared" si="29"/>
        <v>61853.380000000005</v>
      </c>
      <c r="L49" s="136"/>
      <c r="M49" s="135">
        <f t="shared" si="30"/>
        <v>4951.43</v>
      </c>
      <c r="N49" s="137">
        <f t="shared" si="31"/>
        <v>8.7016877277492244E-2</v>
      </c>
      <c r="O49" s="135"/>
      <c r="P49" s="135">
        <f t="shared" si="11"/>
        <v>26380.2</v>
      </c>
      <c r="Q49" s="135">
        <f t="shared" si="12"/>
        <v>36262.300000000003</v>
      </c>
      <c r="R49" s="135">
        <f t="shared" si="32"/>
        <v>62642.5</v>
      </c>
      <c r="S49" s="136"/>
      <c r="T49" s="135">
        <f t="shared" si="13"/>
        <v>789.11999999999534</v>
      </c>
      <c r="U49" s="137">
        <f t="shared" si="14"/>
        <v>1.2757912340441142E-2</v>
      </c>
      <c r="V49" s="135"/>
      <c r="W49" s="135">
        <f t="shared" si="15"/>
        <v>26326.7</v>
      </c>
      <c r="X49" s="135">
        <f t="shared" si="16"/>
        <v>36262.300000000003</v>
      </c>
      <c r="Y49" s="135">
        <f t="shared" si="33"/>
        <v>62589</v>
      </c>
      <c r="Z49" s="136"/>
      <c r="AA49" s="135">
        <f t="shared" si="17"/>
        <v>-53.5</v>
      </c>
      <c r="AB49" s="137">
        <f t="shared" si="18"/>
        <v>-8.5405275970786606E-4</v>
      </c>
      <c r="AC49" s="17"/>
      <c r="AD49" s="37"/>
    </row>
    <row r="50" spans="1:30" x14ac:dyDescent="0.3">
      <c r="A50" s="1">
        <f t="shared" si="0"/>
        <v>50</v>
      </c>
      <c r="B50" s="31"/>
      <c r="C50" s="105">
        <v>1000</v>
      </c>
      <c r="D50" s="106">
        <f t="shared" si="34"/>
        <v>535000</v>
      </c>
      <c r="E50" s="135">
        <f t="shared" si="19"/>
        <v>41119.300000000003</v>
      </c>
      <c r="F50" s="135">
        <f t="shared" si="6"/>
        <v>72524.600000000006</v>
      </c>
      <c r="G50" s="135">
        <f t="shared" si="28"/>
        <v>113643.90000000001</v>
      </c>
      <c r="H50" s="136"/>
      <c r="I50" s="135">
        <f t="shared" si="7"/>
        <v>51022.15</v>
      </c>
      <c r="J50" s="135">
        <f t="shared" si="8"/>
        <v>72524.600000000006</v>
      </c>
      <c r="K50" s="135">
        <f t="shared" si="29"/>
        <v>123546.75</v>
      </c>
      <c r="L50" s="136"/>
      <c r="M50" s="135">
        <f t="shared" si="30"/>
        <v>9902.8499999999913</v>
      </c>
      <c r="N50" s="137">
        <f t="shared" si="31"/>
        <v>8.7139300921562801E-2</v>
      </c>
      <c r="O50" s="135"/>
      <c r="P50" s="135">
        <f t="shared" si="11"/>
        <v>52600.4</v>
      </c>
      <c r="Q50" s="135">
        <f t="shared" si="12"/>
        <v>72524.600000000006</v>
      </c>
      <c r="R50" s="135">
        <f t="shared" si="32"/>
        <v>125125</v>
      </c>
      <c r="S50" s="136"/>
      <c r="T50" s="135">
        <f t="shared" si="13"/>
        <v>1578.25</v>
      </c>
      <c r="U50" s="137">
        <f t="shared" si="14"/>
        <v>1.2774516529168108E-2</v>
      </c>
      <c r="V50" s="135"/>
      <c r="W50" s="135">
        <f t="shared" si="15"/>
        <v>52493.4</v>
      </c>
      <c r="X50" s="135">
        <f t="shared" si="16"/>
        <v>72524.600000000006</v>
      </c>
      <c r="Y50" s="135">
        <f t="shared" si="33"/>
        <v>125018</v>
      </c>
      <c r="Z50" s="136"/>
      <c r="AA50" s="135">
        <f t="shared" si="17"/>
        <v>-107</v>
      </c>
      <c r="AB50" s="137">
        <f t="shared" si="18"/>
        <v>-8.5514485514485517E-4</v>
      </c>
      <c r="AC50" s="17"/>
      <c r="AD50" s="37"/>
    </row>
    <row r="51" spans="1:30" x14ac:dyDescent="0.3">
      <c r="A51" s="1">
        <f t="shared" si="0"/>
        <v>51</v>
      </c>
      <c r="B51" s="31" t="s">
        <v>52</v>
      </c>
      <c r="C51" s="106">
        <v>308</v>
      </c>
      <c r="D51" s="106">
        <f t="shared" si="34"/>
        <v>164780</v>
      </c>
      <c r="E51" s="135">
        <f t="shared" si="19"/>
        <v>12775.46</v>
      </c>
      <c r="F51" s="135">
        <f t="shared" si="6"/>
        <v>22337.58</v>
      </c>
      <c r="G51" s="135">
        <f t="shared" si="28"/>
        <v>35113.040000000001</v>
      </c>
      <c r="H51" s="136"/>
      <c r="I51" s="135">
        <f t="shared" si="7"/>
        <v>15825.54</v>
      </c>
      <c r="J51" s="135">
        <f t="shared" si="8"/>
        <v>22337.58</v>
      </c>
      <c r="K51" s="135">
        <f t="shared" si="29"/>
        <v>38163.120000000003</v>
      </c>
      <c r="L51" s="136"/>
      <c r="M51" s="135">
        <f t="shared" si="30"/>
        <v>3050.0800000000017</v>
      </c>
      <c r="N51" s="137">
        <f t="shared" si="31"/>
        <v>8.6864595033639969E-2</v>
      </c>
      <c r="O51" s="135"/>
      <c r="P51" s="135">
        <f t="shared" si="11"/>
        <v>16311.64</v>
      </c>
      <c r="Q51" s="135">
        <f t="shared" si="12"/>
        <v>22337.58</v>
      </c>
      <c r="R51" s="135">
        <f t="shared" si="32"/>
        <v>38649.22</v>
      </c>
      <c r="S51" s="136"/>
      <c r="T51" s="135">
        <f t="shared" si="13"/>
        <v>486.09999999999854</v>
      </c>
      <c r="U51" s="137">
        <f t="shared" si="14"/>
        <v>1.2737428176731843E-2</v>
      </c>
      <c r="V51" s="135"/>
      <c r="W51" s="135">
        <f t="shared" si="15"/>
        <v>16278.69</v>
      </c>
      <c r="X51" s="135">
        <f t="shared" si="16"/>
        <v>22337.58</v>
      </c>
      <c r="Y51" s="135">
        <f t="shared" si="33"/>
        <v>38616.270000000004</v>
      </c>
      <c r="Z51" s="136"/>
      <c r="AA51" s="135">
        <f t="shared" si="17"/>
        <v>-32.94999999999709</v>
      </c>
      <c r="AB51" s="137">
        <f t="shared" si="18"/>
        <v>-8.5253984427103799E-4</v>
      </c>
      <c r="AC51" s="17"/>
      <c r="AD51" s="37"/>
    </row>
    <row r="52" spans="1:30" x14ac:dyDescent="0.3">
      <c r="A52" s="1">
        <f t="shared" si="0"/>
        <v>52</v>
      </c>
      <c r="B52" s="31"/>
      <c r="C52" s="130"/>
      <c r="D52" s="152"/>
      <c r="E52" s="153"/>
      <c r="F52" s="153"/>
      <c r="G52" s="153"/>
      <c r="H52" s="159"/>
      <c r="I52" s="153"/>
      <c r="J52" s="153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Y52" s="37"/>
      <c r="Z52" s="37"/>
      <c r="AA52" s="37"/>
      <c r="AB52" s="37"/>
      <c r="AC52" s="188"/>
      <c r="AD52" s="37"/>
    </row>
    <row r="53" spans="1:30" x14ac:dyDescent="0.3">
      <c r="A53" s="1">
        <f t="shared" si="0"/>
        <v>53</v>
      </c>
      <c r="B53" s="31"/>
      <c r="C53" s="130"/>
      <c r="D53" s="152"/>
      <c r="E53" s="153"/>
      <c r="F53" s="153"/>
      <c r="G53" s="153"/>
      <c r="H53" s="159"/>
      <c r="I53" s="153"/>
      <c r="J53" s="153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Y53" s="37"/>
      <c r="Z53" s="37"/>
      <c r="AA53" s="37"/>
      <c r="AB53" s="37"/>
      <c r="AD53" s="37"/>
    </row>
    <row r="54" spans="1:30" x14ac:dyDescent="0.3">
      <c r="A54" s="1">
        <f t="shared" si="0"/>
        <v>54</v>
      </c>
      <c r="B54" s="31"/>
      <c r="C54" s="44" t="s">
        <v>53</v>
      </c>
      <c r="D54" s="44"/>
      <c r="E54" s="136"/>
      <c r="F54" s="136"/>
      <c r="G54" s="45">
        <f>'EMA R1'!H28</f>
        <v>2024</v>
      </c>
      <c r="I54" s="45">
        <f>'EMA R1'!I28</f>
        <v>2025</v>
      </c>
      <c r="J54" s="45">
        <f>'EMA R1'!J28</f>
        <v>2026</v>
      </c>
      <c r="K54" s="45">
        <f>'EMA R1'!L28</f>
        <v>2027</v>
      </c>
      <c r="M54" s="45" t="str">
        <f>'EMA R1'!M28</f>
        <v>2025 v 2024</v>
      </c>
      <c r="N54" s="45" t="str">
        <f>'EMA R1'!O28</f>
        <v>2026 v 2025</v>
      </c>
      <c r="P54" s="45" t="str">
        <f>'EMA R1'!P28</f>
        <v>2027 v 2026</v>
      </c>
      <c r="Q54" s="136"/>
      <c r="R54" s="136"/>
      <c r="S54" s="136"/>
      <c r="T54" s="136"/>
      <c r="U54" s="136"/>
      <c r="V54" s="136"/>
      <c r="Y54" s="37"/>
      <c r="Z54" s="37"/>
      <c r="AA54" s="37"/>
      <c r="AB54" s="37"/>
      <c r="AD54" s="37"/>
    </row>
    <row r="55" spans="1:30" ht="15.5" x14ac:dyDescent="0.45">
      <c r="A55" s="1">
        <f t="shared" si="0"/>
        <v>55</v>
      </c>
      <c r="B55" s="31"/>
      <c r="C55" s="23" t="s">
        <v>53</v>
      </c>
      <c r="D55" s="23"/>
      <c r="E55" s="136"/>
      <c r="F55" s="136"/>
      <c r="G55" s="47" t="str">
        <f>+'SOUTH G7'!G40</f>
        <v>Rates</v>
      </c>
      <c r="H55" s="116"/>
      <c r="I55" s="47" t="s">
        <v>57</v>
      </c>
      <c r="J55" s="47" t="s">
        <v>57</v>
      </c>
      <c r="K55" s="47" t="s">
        <v>57</v>
      </c>
      <c r="L55" s="37"/>
      <c r="M55" s="48" t="s">
        <v>51</v>
      </c>
      <c r="N55" s="48" t="s">
        <v>51</v>
      </c>
      <c r="O55" s="22"/>
      <c r="P55" s="48" t="s">
        <v>51</v>
      </c>
      <c r="Q55" s="136"/>
      <c r="R55" s="136"/>
      <c r="S55" s="136"/>
      <c r="T55" s="136"/>
      <c r="U55" s="136"/>
      <c r="V55" s="136"/>
    </row>
    <row r="56" spans="1:30" ht="15.5" x14ac:dyDescent="0.45">
      <c r="A56" s="1">
        <f t="shared" si="0"/>
        <v>56</v>
      </c>
      <c r="B56" s="31"/>
      <c r="C56" s="23" t="s">
        <v>197</v>
      </c>
      <c r="D56" s="23"/>
      <c r="E56" s="136"/>
      <c r="F56" s="136"/>
      <c r="G56" s="88">
        <v>27</v>
      </c>
      <c r="H56" s="189"/>
      <c r="I56" s="88">
        <f>G56</f>
        <v>27</v>
      </c>
      <c r="J56" s="88">
        <f>G56</f>
        <v>27</v>
      </c>
      <c r="K56" s="88">
        <f>G56</f>
        <v>27</v>
      </c>
      <c r="L56" s="37"/>
      <c r="M56" s="50">
        <f t="shared" ref="M56:M87" si="35">+I56-G56</f>
        <v>0</v>
      </c>
      <c r="N56" s="50">
        <f>+J56-I56</f>
        <v>0</v>
      </c>
      <c r="O56" s="88"/>
      <c r="P56" s="50">
        <f>+K56-J56</f>
        <v>0</v>
      </c>
      <c r="Q56" s="51" t="s">
        <v>59</v>
      </c>
      <c r="R56" s="136"/>
      <c r="S56" s="136"/>
      <c r="T56" s="136"/>
      <c r="U56" s="136"/>
      <c r="V56" s="136"/>
    </row>
    <row r="57" spans="1:30" ht="15.5" x14ac:dyDescent="0.45">
      <c r="A57" s="1">
        <f t="shared" si="0"/>
        <v>57</v>
      </c>
      <c r="B57" s="31"/>
      <c r="C57" s="23" t="s">
        <v>198</v>
      </c>
      <c r="D57" s="23"/>
      <c r="E57" s="136"/>
      <c r="F57" s="136"/>
      <c r="G57" s="88">
        <v>110</v>
      </c>
      <c r="H57" s="189"/>
      <c r="I57" s="88">
        <f t="shared" ref="I57:I87" si="36">G57</f>
        <v>110</v>
      </c>
      <c r="J57" s="88">
        <f t="shared" ref="J57:J87" si="37">G57</f>
        <v>110</v>
      </c>
      <c r="K57" s="88">
        <f t="shared" ref="K57:K87" si="38">G57</f>
        <v>110</v>
      </c>
      <c r="L57" s="136"/>
      <c r="M57" s="50">
        <f t="shared" si="35"/>
        <v>0</v>
      </c>
      <c r="N57" s="50">
        <f t="shared" ref="N57:N87" si="39">+J57-I57</f>
        <v>0</v>
      </c>
      <c r="O57" s="88"/>
      <c r="P57" s="50">
        <f t="shared" ref="P57:P87" si="40">+K57-J57</f>
        <v>0</v>
      </c>
      <c r="Q57" s="51" t="s">
        <v>59</v>
      </c>
      <c r="R57" s="136"/>
      <c r="S57" s="136"/>
      <c r="T57" s="136"/>
      <c r="U57" s="136"/>
      <c r="V57" s="136"/>
    </row>
    <row r="58" spans="1:30" ht="15.5" x14ac:dyDescent="0.45">
      <c r="A58" s="1">
        <f t="shared" si="0"/>
        <v>58</v>
      </c>
      <c r="B58" s="31"/>
      <c r="C58" s="23" t="s">
        <v>199</v>
      </c>
      <c r="D58" s="23"/>
      <c r="E58" s="136"/>
      <c r="F58" s="136"/>
      <c r="G58" s="88">
        <v>160</v>
      </c>
      <c r="H58" s="189"/>
      <c r="I58" s="88">
        <f t="shared" si="36"/>
        <v>160</v>
      </c>
      <c r="J58" s="88">
        <f t="shared" si="37"/>
        <v>160</v>
      </c>
      <c r="K58" s="88">
        <f t="shared" si="38"/>
        <v>160</v>
      </c>
      <c r="L58" s="136"/>
      <c r="M58" s="50">
        <f t="shared" si="35"/>
        <v>0</v>
      </c>
      <c r="N58" s="50">
        <f t="shared" si="39"/>
        <v>0</v>
      </c>
      <c r="O58" s="88"/>
      <c r="P58" s="50">
        <f t="shared" si="40"/>
        <v>0</v>
      </c>
      <c r="Q58" s="51" t="s">
        <v>59</v>
      </c>
      <c r="R58" s="136"/>
      <c r="S58" s="136"/>
      <c r="T58" s="136"/>
      <c r="U58" s="136"/>
      <c r="V58" s="136"/>
    </row>
    <row r="59" spans="1:30" x14ac:dyDescent="0.3">
      <c r="A59" s="1">
        <f t="shared" si="0"/>
        <v>59</v>
      </c>
      <c r="B59" s="31"/>
      <c r="C59" s="44" t="s">
        <v>200</v>
      </c>
      <c r="D59" s="44"/>
      <c r="E59" s="86"/>
      <c r="F59" s="136"/>
      <c r="G59" s="88">
        <v>370</v>
      </c>
      <c r="H59" s="88"/>
      <c r="I59" s="88">
        <f t="shared" si="36"/>
        <v>370</v>
      </c>
      <c r="J59" s="88">
        <f t="shared" si="37"/>
        <v>370</v>
      </c>
      <c r="K59" s="88">
        <f t="shared" si="38"/>
        <v>370</v>
      </c>
      <c r="L59" s="136"/>
      <c r="M59" s="50">
        <f t="shared" si="35"/>
        <v>0</v>
      </c>
      <c r="N59" s="50">
        <f t="shared" si="39"/>
        <v>0</v>
      </c>
      <c r="O59" s="88"/>
      <c r="P59" s="50">
        <f t="shared" si="40"/>
        <v>0</v>
      </c>
      <c r="Q59" s="51" t="s">
        <v>59</v>
      </c>
      <c r="R59" s="136"/>
      <c r="S59" s="136"/>
      <c r="T59" s="136"/>
      <c r="U59" s="136"/>
      <c r="V59" s="136"/>
    </row>
    <row r="60" spans="1:30" x14ac:dyDescent="0.3">
      <c r="A60" s="1">
        <f t="shared" si="0"/>
        <v>60</v>
      </c>
      <c r="B60" s="31"/>
      <c r="C60" s="44" t="s">
        <v>146</v>
      </c>
      <c r="D60" s="44"/>
      <c r="E60" s="86"/>
      <c r="F60" s="136"/>
      <c r="G60" s="88">
        <v>18.53</v>
      </c>
      <c r="H60" s="88"/>
      <c r="I60" s="88">
        <f t="shared" si="36"/>
        <v>18.53</v>
      </c>
      <c r="J60" s="88">
        <f t="shared" si="37"/>
        <v>18.53</v>
      </c>
      <c r="K60" s="88">
        <f t="shared" si="38"/>
        <v>18.53</v>
      </c>
      <c r="L60" s="136"/>
      <c r="M60" s="50">
        <f t="shared" si="35"/>
        <v>0</v>
      </c>
      <c r="N60" s="50">
        <f t="shared" si="39"/>
        <v>0</v>
      </c>
      <c r="O60" s="50"/>
      <c r="P60" s="50">
        <f t="shared" si="40"/>
        <v>0</v>
      </c>
      <c r="Q60" s="51" t="s">
        <v>59</v>
      </c>
      <c r="R60" s="136"/>
      <c r="S60" s="136"/>
      <c r="T60" s="136"/>
      <c r="U60" s="136"/>
      <c r="V60" s="136"/>
    </row>
    <row r="61" spans="1:30" x14ac:dyDescent="0.3">
      <c r="A61" s="1">
        <f t="shared" si="0"/>
        <v>61</v>
      </c>
      <c r="B61" s="31"/>
      <c r="C61" s="44" t="s">
        <v>60</v>
      </c>
      <c r="D61" s="44"/>
      <c r="E61" s="86"/>
      <c r="F61" s="136"/>
      <c r="G61" s="91">
        <v>0</v>
      </c>
      <c r="H61" s="92"/>
      <c r="I61" s="91">
        <f t="shared" si="36"/>
        <v>0</v>
      </c>
      <c r="J61" s="91">
        <f t="shared" si="37"/>
        <v>0</v>
      </c>
      <c r="K61" s="91">
        <f t="shared" si="38"/>
        <v>0</v>
      </c>
      <c r="L61" s="136"/>
      <c r="M61" s="54">
        <f t="shared" si="35"/>
        <v>0</v>
      </c>
      <c r="N61" s="54">
        <f t="shared" si="39"/>
        <v>0</v>
      </c>
      <c r="O61" s="54"/>
      <c r="P61" s="54">
        <f t="shared" si="40"/>
        <v>0</v>
      </c>
      <c r="Q61" s="51" t="s">
        <v>59</v>
      </c>
      <c r="R61" s="136"/>
      <c r="S61" s="136"/>
      <c r="T61" s="136"/>
      <c r="U61" s="136"/>
      <c r="V61" s="136"/>
    </row>
    <row r="62" spans="1:30" x14ac:dyDescent="0.3">
      <c r="A62" s="1">
        <f t="shared" si="0"/>
        <v>62</v>
      </c>
      <c r="B62" s="31"/>
      <c r="C62" s="44" t="str">
        <f>+'BOS G1ND'!C30</f>
        <v>Exogenous Cost Adjustment</v>
      </c>
      <c r="D62" s="44"/>
      <c r="E62" s="86"/>
      <c r="F62" s="136"/>
      <c r="G62" s="91">
        <v>5.5999999999999995E-4</v>
      </c>
      <c r="H62" s="176"/>
      <c r="I62" s="91">
        <f t="shared" si="36"/>
        <v>5.5999999999999995E-4</v>
      </c>
      <c r="J62" s="91">
        <f t="shared" si="37"/>
        <v>5.5999999999999995E-4</v>
      </c>
      <c r="K62" s="91">
        <f t="shared" si="38"/>
        <v>5.5999999999999995E-4</v>
      </c>
      <c r="L62" s="136"/>
      <c r="M62" s="54">
        <f t="shared" si="35"/>
        <v>0</v>
      </c>
      <c r="N62" s="54">
        <f t="shared" si="39"/>
        <v>0</v>
      </c>
      <c r="O62" s="54"/>
      <c r="P62" s="54">
        <f t="shared" si="40"/>
        <v>0</v>
      </c>
      <c r="Q62" s="51" t="str">
        <f>+'BOS G1ND'!Q30</f>
        <v>ECA</v>
      </c>
      <c r="R62" s="136"/>
      <c r="S62" s="136"/>
      <c r="T62" s="136"/>
      <c r="U62" s="136"/>
      <c r="V62" s="136"/>
    </row>
    <row r="63" spans="1:30" x14ac:dyDescent="0.3">
      <c r="A63" s="1">
        <f t="shared" si="0"/>
        <v>63</v>
      </c>
      <c r="B63" s="31"/>
      <c r="C63" s="44" t="str">
        <f>+'BOS G1ND'!C31</f>
        <v>Revenue Decoupling</v>
      </c>
      <c r="D63" s="44"/>
      <c r="E63" s="86"/>
      <c r="F63" s="136"/>
      <c r="G63" s="91">
        <v>3.0000000000000001E-5</v>
      </c>
      <c r="H63" s="92"/>
      <c r="I63" s="91">
        <f t="shared" si="36"/>
        <v>3.0000000000000001E-5</v>
      </c>
      <c r="J63" s="91">
        <f t="shared" si="37"/>
        <v>3.0000000000000001E-5</v>
      </c>
      <c r="K63" s="91">
        <f t="shared" si="38"/>
        <v>3.0000000000000001E-5</v>
      </c>
      <c r="L63" s="136"/>
      <c r="M63" s="54">
        <f t="shared" si="35"/>
        <v>0</v>
      </c>
      <c r="N63" s="54">
        <f t="shared" si="39"/>
        <v>0</v>
      </c>
      <c r="O63" s="54"/>
      <c r="P63" s="54">
        <f t="shared" si="40"/>
        <v>0</v>
      </c>
      <c r="Q63" s="51" t="str">
        <f>+'BOS G1ND'!Q31</f>
        <v>RDAF</v>
      </c>
      <c r="R63" s="136"/>
      <c r="S63" s="136"/>
      <c r="T63" s="136"/>
      <c r="U63" s="136"/>
      <c r="V63" s="136"/>
    </row>
    <row r="64" spans="1:30" x14ac:dyDescent="0.3">
      <c r="A64" s="1">
        <f t="shared" si="0"/>
        <v>64</v>
      </c>
      <c r="B64" s="31"/>
      <c r="C64" s="44" t="str">
        <f>+'BOS G1ND'!C32</f>
        <v>Distributed Solar Charge</v>
      </c>
      <c r="D64" s="44"/>
      <c r="E64" s="86"/>
      <c r="F64" s="136"/>
      <c r="G64" s="91">
        <v>4.4099999999999999E-3</v>
      </c>
      <c r="H64" s="92"/>
      <c r="I64" s="91">
        <f t="shared" si="36"/>
        <v>4.4099999999999999E-3</v>
      </c>
      <c r="J64" s="91">
        <f t="shared" si="37"/>
        <v>4.4099999999999999E-3</v>
      </c>
      <c r="K64" s="91">
        <f t="shared" si="38"/>
        <v>4.4099999999999999E-3</v>
      </c>
      <c r="L64" s="136"/>
      <c r="M64" s="54">
        <f t="shared" si="35"/>
        <v>0</v>
      </c>
      <c r="N64" s="54">
        <f t="shared" si="39"/>
        <v>0</v>
      </c>
      <c r="O64" s="54"/>
      <c r="P64" s="54">
        <f t="shared" si="40"/>
        <v>0</v>
      </c>
      <c r="Q64" s="51" t="str">
        <f>+'BOS G1ND'!Q32</f>
        <v>SMART</v>
      </c>
      <c r="R64" s="136"/>
      <c r="S64" s="136"/>
      <c r="T64" s="136"/>
      <c r="U64" s="136"/>
      <c r="V64" s="136"/>
    </row>
    <row r="65" spans="1:22" x14ac:dyDescent="0.3">
      <c r="A65" s="1">
        <f t="shared" si="0"/>
        <v>65</v>
      </c>
      <c r="B65" s="31"/>
      <c r="C65" s="44" t="str">
        <f>+'BOS G1ND'!C33</f>
        <v>Residential Assistance Adjustment Factor</v>
      </c>
      <c r="D65" s="44"/>
      <c r="E65" s="86"/>
      <c r="F65" s="136"/>
      <c r="G65" s="53">
        <v>4.4999999999999997E-3</v>
      </c>
      <c r="H65" s="92"/>
      <c r="I65" s="53">
        <f t="shared" si="36"/>
        <v>4.4999999999999997E-3</v>
      </c>
      <c r="J65" s="53">
        <f t="shared" si="37"/>
        <v>4.4999999999999997E-3</v>
      </c>
      <c r="K65" s="53">
        <f t="shared" si="38"/>
        <v>4.4999999999999997E-3</v>
      </c>
      <c r="L65" s="136"/>
      <c r="M65" s="54">
        <f t="shared" si="35"/>
        <v>0</v>
      </c>
      <c r="N65" s="54">
        <f t="shared" si="39"/>
        <v>0</v>
      </c>
      <c r="O65" s="54"/>
      <c r="P65" s="54">
        <f t="shared" si="40"/>
        <v>0</v>
      </c>
      <c r="Q65" s="51" t="str">
        <f>+'BOS G1ND'!Q33</f>
        <v>RAAF</v>
      </c>
      <c r="R65" s="136"/>
      <c r="S65" s="136"/>
      <c r="T65" s="136"/>
      <c r="U65" s="136"/>
      <c r="V65" s="136"/>
    </row>
    <row r="66" spans="1:22" x14ac:dyDescent="0.3">
      <c r="A66" s="1">
        <f t="shared" si="0"/>
        <v>66</v>
      </c>
      <c r="B66" s="31"/>
      <c r="C66" s="44" t="str">
        <f>+'BOS G1ND'!C34</f>
        <v>Pension Adjustment Factor</v>
      </c>
      <c r="D66" s="44"/>
      <c r="E66" s="86"/>
      <c r="F66" s="136"/>
      <c r="G66" s="53">
        <v>3.6999999999999999E-4</v>
      </c>
      <c r="H66" s="92"/>
      <c r="I66" s="53">
        <f t="shared" si="36"/>
        <v>3.6999999999999999E-4</v>
      </c>
      <c r="J66" s="53">
        <f t="shared" si="37"/>
        <v>3.6999999999999999E-4</v>
      </c>
      <c r="K66" s="53">
        <f t="shared" si="38"/>
        <v>3.6999999999999999E-4</v>
      </c>
      <c r="L66" s="136"/>
      <c r="M66" s="54">
        <f t="shared" si="35"/>
        <v>0</v>
      </c>
      <c r="N66" s="54">
        <f t="shared" si="39"/>
        <v>0</v>
      </c>
      <c r="O66" s="54"/>
      <c r="P66" s="54">
        <f t="shared" si="40"/>
        <v>0</v>
      </c>
      <c r="Q66" s="51" t="str">
        <f>+'BOS G1ND'!Q34</f>
        <v>PAF</v>
      </c>
      <c r="R66" s="136"/>
      <c r="S66" s="136"/>
      <c r="T66" s="136"/>
      <c r="U66" s="136"/>
      <c r="V66" s="136"/>
    </row>
    <row r="67" spans="1:22" x14ac:dyDescent="0.3">
      <c r="A67" s="1">
        <f t="shared" ref="A67:A87" si="41">A66+1</f>
        <v>67</v>
      </c>
      <c r="B67" s="31"/>
      <c r="C67" s="44" t="str">
        <f>+'BOS G1ND'!C35</f>
        <v>Net Metering Recovery Surcharge</v>
      </c>
      <c r="D67" s="44"/>
      <c r="E67" s="86"/>
      <c r="F67" s="136"/>
      <c r="G67" s="91">
        <v>8.94E-3</v>
      </c>
      <c r="H67" s="92"/>
      <c r="I67" s="91">
        <f t="shared" si="36"/>
        <v>8.94E-3</v>
      </c>
      <c r="J67" s="91">
        <f t="shared" si="37"/>
        <v>8.94E-3</v>
      </c>
      <c r="K67" s="91">
        <f t="shared" si="38"/>
        <v>8.94E-3</v>
      </c>
      <c r="L67" s="136"/>
      <c r="M67" s="54">
        <f t="shared" si="35"/>
        <v>0</v>
      </c>
      <c r="N67" s="54">
        <f t="shared" si="39"/>
        <v>0</v>
      </c>
      <c r="O67" s="54"/>
      <c r="P67" s="54">
        <f t="shared" si="40"/>
        <v>0</v>
      </c>
      <c r="Q67" s="51" t="str">
        <f>+'BOS G1ND'!Q35</f>
        <v>NMRS</v>
      </c>
      <c r="R67" s="136"/>
      <c r="S67" s="136"/>
      <c r="T67" s="136"/>
      <c r="U67" s="136"/>
      <c r="V67" s="136"/>
    </row>
    <row r="68" spans="1:22" x14ac:dyDescent="0.3">
      <c r="A68" s="1">
        <f t="shared" si="41"/>
        <v>68</v>
      </c>
      <c r="B68" s="31"/>
      <c r="C68" s="44" t="str">
        <f>+'BOS G1ND'!C36</f>
        <v>Long Term Renewable Contract Adjustment</v>
      </c>
      <c r="D68" s="44"/>
      <c r="E68" s="86"/>
      <c r="F68" s="136"/>
      <c r="G68" s="53">
        <v>-1.9300000000000001E-3</v>
      </c>
      <c r="H68" s="92"/>
      <c r="I68" s="53">
        <f t="shared" si="36"/>
        <v>-1.9300000000000001E-3</v>
      </c>
      <c r="J68" s="53">
        <f t="shared" si="37"/>
        <v>-1.9300000000000001E-3</v>
      </c>
      <c r="K68" s="53">
        <f t="shared" si="38"/>
        <v>-1.9300000000000001E-3</v>
      </c>
      <c r="L68" s="136"/>
      <c r="M68" s="54">
        <f t="shared" si="35"/>
        <v>0</v>
      </c>
      <c r="N68" s="54">
        <f t="shared" si="39"/>
        <v>0</v>
      </c>
      <c r="O68" s="54"/>
      <c r="P68" s="54">
        <f t="shared" si="40"/>
        <v>0</v>
      </c>
      <c r="Q68" s="51" t="str">
        <f>+'BOS G1ND'!Q36</f>
        <v>LTRCA</v>
      </c>
      <c r="R68" s="136"/>
      <c r="S68" s="136"/>
      <c r="T68" s="136"/>
      <c r="U68" s="136"/>
      <c r="V68" s="136"/>
    </row>
    <row r="69" spans="1:22" x14ac:dyDescent="0.3">
      <c r="A69" s="1">
        <f t="shared" si="41"/>
        <v>69</v>
      </c>
      <c r="B69" s="31"/>
      <c r="C69" s="44" t="str">
        <f>+'BOS G1ND'!C37</f>
        <v>AG Consulting Expense</v>
      </c>
      <c r="D69" s="44"/>
      <c r="E69" s="86"/>
      <c r="F69" s="136"/>
      <c r="G69" s="53">
        <v>3.0000000000000001E-5</v>
      </c>
      <c r="H69" s="92"/>
      <c r="I69" s="53">
        <f t="shared" si="36"/>
        <v>3.0000000000000001E-5</v>
      </c>
      <c r="J69" s="53">
        <f t="shared" si="37"/>
        <v>3.0000000000000001E-5</v>
      </c>
      <c r="K69" s="53">
        <f t="shared" si="38"/>
        <v>3.0000000000000001E-5</v>
      </c>
      <c r="L69" s="136"/>
      <c r="M69" s="54">
        <f t="shared" si="35"/>
        <v>0</v>
      </c>
      <c r="N69" s="54">
        <f t="shared" si="39"/>
        <v>0</v>
      </c>
      <c r="O69" s="54"/>
      <c r="P69" s="54">
        <f t="shared" si="40"/>
        <v>0</v>
      </c>
      <c r="Q69" s="51" t="str">
        <f>+'BOS G1ND'!Q37</f>
        <v>AGCE</v>
      </c>
      <c r="R69" s="136"/>
      <c r="S69" s="136"/>
      <c r="T69" s="136"/>
      <c r="U69" s="136"/>
      <c r="V69" s="136"/>
    </row>
    <row r="70" spans="1:22" x14ac:dyDescent="0.3">
      <c r="A70" s="1">
        <f t="shared" si="41"/>
        <v>70</v>
      </c>
      <c r="B70" s="31"/>
      <c r="C70" s="44" t="str">
        <f>+'BOS G1ND'!C38</f>
        <v>Storm Cost Recovery Adjustment Factor</v>
      </c>
      <c r="D70" s="44"/>
      <c r="E70" s="86"/>
      <c r="F70" s="136"/>
      <c r="G70" s="53">
        <v>3.65E-3</v>
      </c>
      <c r="H70" s="92"/>
      <c r="I70" s="53">
        <f t="shared" si="36"/>
        <v>3.65E-3</v>
      </c>
      <c r="J70" s="53">
        <f t="shared" si="37"/>
        <v>3.65E-3</v>
      </c>
      <c r="K70" s="53">
        <f t="shared" si="38"/>
        <v>3.65E-3</v>
      </c>
      <c r="L70" s="136"/>
      <c r="M70" s="54">
        <f t="shared" si="35"/>
        <v>0</v>
      </c>
      <c r="N70" s="54">
        <f t="shared" si="39"/>
        <v>0</v>
      </c>
      <c r="O70" s="53"/>
      <c r="P70" s="54">
        <f t="shared" si="40"/>
        <v>0</v>
      </c>
      <c r="Q70" s="51" t="str">
        <f>+'BOS G1ND'!Q38</f>
        <v>SCRA</v>
      </c>
      <c r="R70" s="136"/>
      <c r="S70" s="136"/>
      <c r="T70" s="136"/>
      <c r="U70" s="136"/>
      <c r="V70" s="136"/>
    </row>
    <row r="71" spans="1:22" x14ac:dyDescent="0.3">
      <c r="A71" s="1">
        <f t="shared" si="41"/>
        <v>71</v>
      </c>
      <c r="B71" s="31"/>
      <c r="C71" s="44" t="str">
        <f>+'BOS G1ND'!C39</f>
        <v>Storm Reserve Adjustment</v>
      </c>
      <c r="D71" s="44"/>
      <c r="E71" s="86"/>
      <c r="F71" s="136"/>
      <c r="G71" s="53">
        <v>0</v>
      </c>
      <c r="H71" s="92"/>
      <c r="I71" s="53">
        <f t="shared" si="36"/>
        <v>0</v>
      </c>
      <c r="J71" s="53">
        <f t="shared" si="37"/>
        <v>0</v>
      </c>
      <c r="K71" s="53">
        <f t="shared" si="38"/>
        <v>0</v>
      </c>
      <c r="L71" s="136"/>
      <c r="M71" s="54">
        <f t="shared" si="35"/>
        <v>0</v>
      </c>
      <c r="N71" s="54">
        <f t="shared" si="39"/>
        <v>0</v>
      </c>
      <c r="O71" s="53"/>
      <c r="P71" s="54">
        <f t="shared" si="40"/>
        <v>0</v>
      </c>
      <c r="Q71" s="51" t="str">
        <f>+'BOS G1ND'!Q39</f>
        <v>SRA</v>
      </c>
      <c r="R71" s="136"/>
      <c r="S71" s="136"/>
      <c r="T71" s="136"/>
      <c r="U71" s="136"/>
      <c r="V71" s="136"/>
    </row>
    <row r="72" spans="1:22" x14ac:dyDescent="0.3">
      <c r="A72" s="1">
        <f t="shared" si="41"/>
        <v>72</v>
      </c>
      <c r="B72" s="31"/>
      <c r="C72" s="44" t="str">
        <f>+'BOS G1ND'!C40</f>
        <v>Basic Service Cost True Up Factor</v>
      </c>
      <c r="D72" s="44"/>
      <c r="E72" s="86"/>
      <c r="F72" s="136"/>
      <c r="G72" s="53">
        <v>-2.5000000000000001E-4</v>
      </c>
      <c r="H72" s="92"/>
      <c r="I72" s="53">
        <f t="shared" si="36"/>
        <v>-2.5000000000000001E-4</v>
      </c>
      <c r="J72" s="53">
        <f t="shared" si="37"/>
        <v>-2.5000000000000001E-4</v>
      </c>
      <c r="K72" s="53">
        <f t="shared" si="38"/>
        <v>-2.5000000000000001E-4</v>
      </c>
      <c r="L72" s="136"/>
      <c r="M72" s="54">
        <f t="shared" si="35"/>
        <v>0</v>
      </c>
      <c r="N72" s="54">
        <f t="shared" si="39"/>
        <v>0</v>
      </c>
      <c r="O72" s="53"/>
      <c r="P72" s="54">
        <f t="shared" si="40"/>
        <v>0</v>
      </c>
      <c r="Q72" s="51" t="str">
        <f>+'BOS G1ND'!Q40</f>
        <v>BSTF</v>
      </c>
      <c r="R72" s="136"/>
      <c r="S72" s="136"/>
      <c r="T72" s="136"/>
      <c r="U72" s="136"/>
      <c r="V72" s="136"/>
    </row>
    <row r="73" spans="1:22" x14ac:dyDescent="0.3">
      <c r="A73" s="1">
        <f t="shared" si="41"/>
        <v>73</v>
      </c>
      <c r="B73" s="31"/>
      <c r="C73" s="44" t="str">
        <f>+'BOS G1ND'!C41</f>
        <v>Solar Program Cost Adjustment Factor</v>
      </c>
      <c r="D73" s="44"/>
      <c r="E73" s="86"/>
      <c r="F73" s="136"/>
      <c r="G73" s="53">
        <v>1.0000000000000001E-5</v>
      </c>
      <c r="H73" s="92"/>
      <c r="I73" s="53">
        <f t="shared" si="36"/>
        <v>1.0000000000000001E-5</v>
      </c>
      <c r="J73" s="53">
        <f t="shared" si="37"/>
        <v>1.0000000000000001E-5</v>
      </c>
      <c r="K73" s="53">
        <f t="shared" si="38"/>
        <v>1.0000000000000001E-5</v>
      </c>
      <c r="L73" s="136"/>
      <c r="M73" s="54">
        <f t="shared" si="35"/>
        <v>0</v>
      </c>
      <c r="N73" s="54">
        <f t="shared" si="39"/>
        <v>0</v>
      </c>
      <c r="O73" s="53"/>
      <c r="P73" s="54">
        <f t="shared" si="40"/>
        <v>0</v>
      </c>
      <c r="Q73" s="51" t="str">
        <f>+'BOS G1ND'!Q41</f>
        <v>SPCA</v>
      </c>
      <c r="R73" s="136"/>
      <c r="S73" s="136"/>
      <c r="T73" s="136"/>
      <c r="U73" s="136"/>
      <c r="V73" s="136"/>
    </row>
    <row r="74" spans="1:22" x14ac:dyDescent="0.3">
      <c r="A74" s="1">
        <f t="shared" si="41"/>
        <v>74</v>
      </c>
      <c r="B74" s="31"/>
      <c r="C74" s="44" t="str">
        <f>+'BOS G1ND'!C42</f>
        <v>Solar Expansion Cost Recovery Factor</v>
      </c>
      <c r="D74" s="37"/>
      <c r="E74" s="37"/>
      <c r="F74" s="53"/>
      <c r="G74" s="53">
        <v>-2.7999999999999998E-4</v>
      </c>
      <c r="H74" s="53"/>
      <c r="I74" s="53">
        <f t="shared" si="36"/>
        <v>-2.7999999999999998E-4</v>
      </c>
      <c r="J74" s="53">
        <f t="shared" si="37"/>
        <v>-2.7999999999999998E-4</v>
      </c>
      <c r="K74" s="53">
        <f t="shared" si="38"/>
        <v>-2.7999999999999998E-4</v>
      </c>
      <c r="L74" s="37"/>
      <c r="M74" s="54">
        <f t="shared" si="35"/>
        <v>0</v>
      </c>
      <c r="N74" s="54">
        <f t="shared" si="39"/>
        <v>0</v>
      </c>
      <c r="O74" s="53"/>
      <c r="P74" s="54">
        <f t="shared" si="40"/>
        <v>0</v>
      </c>
      <c r="Q74" s="51" t="str">
        <f>+'BOS G1ND'!Q42</f>
        <v>SECRF</v>
      </c>
    </row>
    <row r="75" spans="1:22" x14ac:dyDescent="0.3">
      <c r="A75" s="1">
        <f t="shared" si="41"/>
        <v>75</v>
      </c>
      <c r="B75" s="31"/>
      <c r="C75" s="44" t="str">
        <f>+'BOS G1ND'!C43</f>
        <v>Vegetation Management</v>
      </c>
      <c r="D75" s="37"/>
      <c r="E75" s="37"/>
      <c r="F75" s="53"/>
      <c r="G75" s="53">
        <v>8.3000000000000001E-4</v>
      </c>
      <c r="H75" s="53"/>
      <c r="I75" s="53">
        <f t="shared" si="36"/>
        <v>8.3000000000000001E-4</v>
      </c>
      <c r="J75" s="53">
        <f t="shared" si="37"/>
        <v>8.3000000000000001E-4</v>
      </c>
      <c r="K75" s="53">
        <f t="shared" si="38"/>
        <v>8.3000000000000001E-4</v>
      </c>
      <c r="L75" s="37"/>
      <c r="M75" s="54">
        <f t="shared" si="35"/>
        <v>0</v>
      </c>
      <c r="N75" s="54">
        <f t="shared" si="39"/>
        <v>0</v>
      </c>
      <c r="O75" s="53"/>
      <c r="P75" s="54">
        <f t="shared" si="40"/>
        <v>0</v>
      </c>
      <c r="Q75" s="51" t="str">
        <f>+'BOS G1ND'!Q43</f>
        <v>RTWF</v>
      </c>
    </row>
    <row r="76" spans="1:22" x14ac:dyDescent="0.3">
      <c r="A76" s="1">
        <f t="shared" si="41"/>
        <v>76</v>
      </c>
      <c r="B76" s="31"/>
      <c r="C76" s="44" t="str">
        <f>+'BOS G1ND'!C44</f>
        <v>Tax Act Credit Factor</v>
      </c>
      <c r="D76" s="44"/>
      <c r="E76" s="86"/>
      <c r="F76" s="136"/>
      <c r="G76" s="53">
        <v>-9.8999999999999999E-4</v>
      </c>
      <c r="H76" s="92"/>
      <c r="I76" s="53">
        <f t="shared" si="36"/>
        <v>-9.8999999999999999E-4</v>
      </c>
      <c r="J76" s="53">
        <f t="shared" si="37"/>
        <v>-9.8999999999999999E-4</v>
      </c>
      <c r="K76" s="53">
        <f t="shared" si="38"/>
        <v>-9.8999999999999999E-4</v>
      </c>
      <c r="L76" s="136"/>
      <c r="M76" s="54">
        <f t="shared" si="35"/>
        <v>0</v>
      </c>
      <c r="N76" s="54">
        <f t="shared" si="39"/>
        <v>0</v>
      </c>
      <c r="O76" s="53"/>
      <c r="P76" s="54">
        <f t="shared" si="40"/>
        <v>0</v>
      </c>
      <c r="Q76" s="51" t="str">
        <f>+'BOS G1ND'!Q44</f>
        <v>TACF</v>
      </c>
      <c r="R76" s="136"/>
      <c r="S76" s="136"/>
      <c r="T76" s="136"/>
      <c r="U76" s="136"/>
      <c r="V76" s="136"/>
    </row>
    <row r="77" spans="1:22" x14ac:dyDescent="0.3">
      <c r="A77" s="1">
        <f t="shared" si="41"/>
        <v>77</v>
      </c>
      <c r="B77" s="31"/>
      <c r="C77" s="44" t="str">
        <f>+'BOS G1ND'!C45</f>
        <v>Grid Modernization</v>
      </c>
      <c r="D77" s="44"/>
      <c r="E77" s="86"/>
      <c r="F77" s="136"/>
      <c r="G77" s="53">
        <v>1.2199999999999999E-3</v>
      </c>
      <c r="H77" s="92"/>
      <c r="I77" s="53">
        <f t="shared" si="36"/>
        <v>1.2199999999999999E-3</v>
      </c>
      <c r="J77" s="53">
        <f t="shared" si="37"/>
        <v>1.2199999999999999E-3</v>
      </c>
      <c r="K77" s="53">
        <f t="shared" si="38"/>
        <v>1.2199999999999999E-3</v>
      </c>
      <c r="L77" s="136"/>
      <c r="M77" s="54">
        <f t="shared" si="35"/>
        <v>0</v>
      </c>
      <c r="N77" s="54">
        <f t="shared" si="39"/>
        <v>0</v>
      </c>
      <c r="O77" s="53"/>
      <c r="P77" s="54">
        <f t="shared" si="40"/>
        <v>0</v>
      </c>
      <c r="Q77" s="51" t="str">
        <f>+'BOS G1ND'!Q45</f>
        <v>GMOD</v>
      </c>
      <c r="R77" s="136"/>
      <c r="S77" s="136"/>
      <c r="T77" s="136"/>
      <c r="U77" s="136"/>
      <c r="V77" s="136"/>
    </row>
    <row r="78" spans="1:22" x14ac:dyDescent="0.3">
      <c r="A78" s="1">
        <f t="shared" si="41"/>
        <v>78</v>
      </c>
      <c r="B78" s="31"/>
      <c r="C78" s="44" t="str">
        <f>+'BOS G1ND'!C46</f>
        <v>Advanced Metering Infrastructure</v>
      </c>
      <c r="D78" s="44"/>
      <c r="E78" s="86"/>
      <c r="F78" s="136"/>
      <c r="G78" s="53">
        <v>1.6199999999999999E-3</v>
      </c>
      <c r="H78" s="92"/>
      <c r="I78" s="53">
        <f t="shared" si="36"/>
        <v>1.6199999999999999E-3</v>
      </c>
      <c r="J78" s="53">
        <f t="shared" si="37"/>
        <v>1.6199999999999999E-3</v>
      </c>
      <c r="K78" s="53">
        <f t="shared" si="38"/>
        <v>1.6199999999999999E-3</v>
      </c>
      <c r="L78" s="136"/>
      <c r="M78" s="54">
        <f t="shared" si="35"/>
        <v>0</v>
      </c>
      <c r="N78" s="54">
        <f t="shared" si="39"/>
        <v>0</v>
      </c>
      <c r="O78" s="53"/>
      <c r="P78" s="54">
        <f t="shared" si="40"/>
        <v>0</v>
      </c>
      <c r="Q78" s="51" t="str">
        <f>+'BOS G1ND'!Q46</f>
        <v>AMIF</v>
      </c>
      <c r="R78" s="136"/>
      <c r="S78" s="136"/>
      <c r="T78" s="136"/>
      <c r="U78" s="136"/>
      <c r="V78" s="136"/>
    </row>
    <row r="79" spans="1:22" x14ac:dyDescent="0.3">
      <c r="A79" s="1">
        <f t="shared" si="41"/>
        <v>79</v>
      </c>
      <c r="B79" s="31"/>
      <c r="C79" s="44" t="str">
        <f>+'BOS G1ND'!C47</f>
        <v>Electronic Payment Recovery</v>
      </c>
      <c r="D79" s="44"/>
      <c r="E79" s="86"/>
      <c r="F79" s="136"/>
      <c r="G79" s="53">
        <v>0</v>
      </c>
      <c r="H79" s="92"/>
      <c r="I79" s="53">
        <f t="shared" si="36"/>
        <v>0</v>
      </c>
      <c r="J79" s="53">
        <f t="shared" si="37"/>
        <v>0</v>
      </c>
      <c r="K79" s="53">
        <f t="shared" si="38"/>
        <v>0</v>
      </c>
      <c r="L79" s="136"/>
      <c r="M79" s="54">
        <f t="shared" si="35"/>
        <v>0</v>
      </c>
      <c r="N79" s="54">
        <f t="shared" si="39"/>
        <v>0</v>
      </c>
      <c r="O79" s="53"/>
      <c r="P79" s="54">
        <f t="shared" si="40"/>
        <v>0</v>
      </c>
      <c r="Q79" s="51" t="str">
        <f>+'BOS G1ND'!Q47</f>
        <v>EPR</v>
      </c>
      <c r="R79" s="136"/>
      <c r="S79" s="136"/>
      <c r="T79" s="136"/>
      <c r="U79" s="136"/>
      <c r="V79" s="136"/>
    </row>
    <row r="80" spans="1:22" x14ac:dyDescent="0.3">
      <c r="A80" s="1">
        <f t="shared" si="41"/>
        <v>80</v>
      </c>
      <c r="B80" s="31"/>
      <c r="C80" s="44" t="str">
        <f>+'BOS G1ND'!C48</f>
        <v>Provisional System Planning Factor</v>
      </c>
      <c r="D80" s="44"/>
      <c r="E80" s="86"/>
      <c r="F80" s="136"/>
      <c r="G80" s="91">
        <v>0</v>
      </c>
      <c r="H80" s="92"/>
      <c r="I80" s="91">
        <f t="shared" si="36"/>
        <v>0</v>
      </c>
      <c r="J80" s="91">
        <f t="shared" si="37"/>
        <v>0</v>
      </c>
      <c r="K80" s="91">
        <f t="shared" si="38"/>
        <v>0</v>
      </c>
      <c r="L80" s="136"/>
      <c r="M80" s="54">
        <f t="shared" si="35"/>
        <v>0</v>
      </c>
      <c r="N80" s="54">
        <f t="shared" si="39"/>
        <v>0</v>
      </c>
      <c r="O80" s="91"/>
      <c r="P80" s="54">
        <f t="shared" si="40"/>
        <v>0</v>
      </c>
      <c r="Q80" s="51" t="str">
        <f>+'BOS G1ND'!Q48</f>
        <v>PSPF</v>
      </c>
      <c r="R80" s="136"/>
      <c r="S80" s="136"/>
      <c r="T80" s="136"/>
      <c r="U80" s="136"/>
      <c r="V80" s="136"/>
    </row>
    <row r="81" spans="1:22" x14ac:dyDescent="0.3">
      <c r="A81" s="1">
        <f t="shared" si="41"/>
        <v>81</v>
      </c>
      <c r="B81" s="31"/>
      <c r="C81" s="44" t="str">
        <f>+'BOS G1ND'!C49</f>
        <v>Electric Vehicle Factor</v>
      </c>
      <c r="D81" s="44"/>
      <c r="E81" s="86"/>
      <c r="F81" s="136"/>
      <c r="G81" s="91">
        <v>7.6000000000000004E-4</v>
      </c>
      <c r="H81" s="92"/>
      <c r="I81" s="91">
        <f t="shared" si="36"/>
        <v>7.6000000000000004E-4</v>
      </c>
      <c r="J81" s="91">
        <f t="shared" si="37"/>
        <v>7.6000000000000004E-4</v>
      </c>
      <c r="K81" s="91">
        <f t="shared" si="38"/>
        <v>7.6000000000000004E-4</v>
      </c>
      <c r="L81" s="136"/>
      <c r="M81" s="54">
        <f t="shared" si="35"/>
        <v>0</v>
      </c>
      <c r="N81" s="54">
        <f t="shared" si="39"/>
        <v>0</v>
      </c>
      <c r="O81" s="91"/>
      <c r="P81" s="54">
        <f t="shared" si="40"/>
        <v>0</v>
      </c>
      <c r="Q81" s="51" t="str">
        <f>+'BOS G1ND'!Q49</f>
        <v>EVF</v>
      </c>
      <c r="R81" s="136"/>
      <c r="S81" s="136"/>
      <c r="T81" s="136"/>
      <c r="U81" s="136"/>
      <c r="V81" s="136"/>
    </row>
    <row r="82" spans="1:22" x14ac:dyDescent="0.3">
      <c r="A82" s="1">
        <f t="shared" si="41"/>
        <v>82</v>
      </c>
      <c r="B82" s="31"/>
      <c r="C82" s="44" t="str">
        <f>+'BOS G1ND'!C50</f>
        <v>Transition</v>
      </c>
      <c r="D82" s="44"/>
      <c r="E82" s="86"/>
      <c r="F82" s="136"/>
      <c r="G82" s="91">
        <v>-3.6999999999999999E-4</v>
      </c>
      <c r="H82" s="92"/>
      <c r="I82" s="91">
        <f t="shared" si="36"/>
        <v>-3.6999999999999999E-4</v>
      </c>
      <c r="J82" s="91">
        <f t="shared" si="37"/>
        <v>-3.6999999999999999E-4</v>
      </c>
      <c r="K82" s="91">
        <f t="shared" si="38"/>
        <v>-3.6999999999999999E-4</v>
      </c>
      <c r="L82" s="136"/>
      <c r="M82" s="54">
        <f t="shared" si="35"/>
        <v>0</v>
      </c>
      <c r="N82" s="54">
        <f t="shared" si="39"/>
        <v>0</v>
      </c>
      <c r="O82" s="91"/>
      <c r="P82" s="54">
        <f t="shared" si="40"/>
        <v>0</v>
      </c>
      <c r="Q82" s="51" t="str">
        <f>+'BOS G1ND'!Q50</f>
        <v>TRNSN</v>
      </c>
      <c r="R82" s="136"/>
      <c r="S82" s="136"/>
      <c r="T82" s="136"/>
      <c r="U82" s="136"/>
      <c r="V82" s="136"/>
    </row>
    <row r="83" spans="1:22" x14ac:dyDescent="0.3">
      <c r="A83" s="1">
        <f t="shared" si="41"/>
        <v>83</v>
      </c>
      <c r="B83" s="31"/>
      <c r="C83" s="44" t="s">
        <v>147</v>
      </c>
      <c r="D83" s="44"/>
      <c r="E83" s="86"/>
      <c r="F83" s="136"/>
      <c r="G83" s="88">
        <v>12.81</v>
      </c>
      <c r="H83" s="88"/>
      <c r="I83" s="88">
        <f t="shared" si="36"/>
        <v>12.81</v>
      </c>
      <c r="J83" s="88">
        <f t="shared" si="37"/>
        <v>12.81</v>
      </c>
      <c r="K83" s="88">
        <f t="shared" si="38"/>
        <v>12.81</v>
      </c>
      <c r="L83" s="136"/>
      <c r="M83" s="50">
        <f t="shared" si="35"/>
        <v>0</v>
      </c>
      <c r="N83" s="50">
        <f t="shared" si="39"/>
        <v>0</v>
      </c>
      <c r="O83" s="88"/>
      <c r="P83" s="50">
        <f t="shared" si="40"/>
        <v>0</v>
      </c>
      <c r="Q83" s="51" t="s">
        <v>104</v>
      </c>
      <c r="R83" s="136"/>
      <c r="S83" s="136"/>
      <c r="T83" s="136"/>
      <c r="U83" s="136"/>
      <c r="V83" s="136"/>
    </row>
    <row r="84" spans="1:22" x14ac:dyDescent="0.3">
      <c r="A84" s="1">
        <f t="shared" si="41"/>
        <v>84</v>
      </c>
      <c r="B84" s="31"/>
      <c r="C84" s="44" t="s">
        <v>105</v>
      </c>
      <c r="E84" s="136"/>
      <c r="F84" s="136"/>
      <c r="G84" s="92">
        <v>-8.1300000000000001E-3</v>
      </c>
      <c r="H84" s="92"/>
      <c r="I84" s="92">
        <v>1.038E-2</v>
      </c>
      <c r="J84" s="92">
        <v>1.333E-2</v>
      </c>
      <c r="K84" s="92">
        <v>1.3129999999999999E-2</v>
      </c>
      <c r="L84" s="136"/>
      <c r="M84" s="54">
        <f t="shared" si="35"/>
        <v>1.8509999999999999E-2</v>
      </c>
      <c r="N84" s="54">
        <f t="shared" si="39"/>
        <v>2.9499999999999995E-3</v>
      </c>
      <c r="O84" s="92"/>
      <c r="P84" s="54">
        <f t="shared" si="40"/>
        <v>-2.0000000000000052E-4</v>
      </c>
      <c r="Q84" s="51" t="s">
        <v>106</v>
      </c>
      <c r="R84" s="136"/>
      <c r="S84" s="136"/>
      <c r="T84" s="136"/>
      <c r="U84" s="136"/>
      <c r="V84" s="136"/>
    </row>
    <row r="85" spans="1:22" x14ac:dyDescent="0.3">
      <c r="A85" s="1">
        <f t="shared" si="41"/>
        <v>85</v>
      </c>
      <c r="C85" s="44" t="s">
        <v>107</v>
      </c>
      <c r="E85" s="136"/>
      <c r="F85" s="136"/>
      <c r="G85" s="92">
        <v>2.5000000000000001E-3</v>
      </c>
      <c r="H85" s="92"/>
      <c r="I85" s="92">
        <f t="shared" si="36"/>
        <v>2.5000000000000001E-3</v>
      </c>
      <c r="J85" s="92">
        <f t="shared" si="37"/>
        <v>2.5000000000000001E-3</v>
      </c>
      <c r="K85" s="92">
        <f t="shared" si="38"/>
        <v>2.5000000000000001E-3</v>
      </c>
      <c r="L85" s="136"/>
      <c r="M85" s="54">
        <f t="shared" si="35"/>
        <v>0</v>
      </c>
      <c r="N85" s="54">
        <f t="shared" si="39"/>
        <v>0</v>
      </c>
      <c r="O85" s="92"/>
      <c r="P85" s="54">
        <f t="shared" si="40"/>
        <v>0</v>
      </c>
      <c r="Q85" s="51" t="s">
        <v>108</v>
      </c>
      <c r="R85" s="136"/>
      <c r="S85" s="136"/>
      <c r="T85" s="136"/>
      <c r="U85" s="136"/>
      <c r="V85" s="136"/>
    </row>
    <row r="86" spans="1:22" x14ac:dyDescent="0.3">
      <c r="A86" s="1">
        <f t="shared" si="41"/>
        <v>86</v>
      </c>
      <c r="C86" s="44" t="s">
        <v>109</v>
      </c>
      <c r="E86" s="136"/>
      <c r="F86" s="136"/>
      <c r="G86" s="92">
        <v>5.0000000000000001E-4</v>
      </c>
      <c r="H86" s="92"/>
      <c r="I86" s="92">
        <f t="shared" si="36"/>
        <v>5.0000000000000001E-4</v>
      </c>
      <c r="J86" s="92">
        <f t="shared" si="37"/>
        <v>5.0000000000000001E-4</v>
      </c>
      <c r="K86" s="92">
        <f t="shared" si="38"/>
        <v>5.0000000000000001E-4</v>
      </c>
      <c r="L86" s="136"/>
      <c r="M86" s="54">
        <f t="shared" si="35"/>
        <v>0</v>
      </c>
      <c r="N86" s="54">
        <f t="shared" si="39"/>
        <v>0</v>
      </c>
      <c r="O86" s="92"/>
      <c r="P86" s="54">
        <f t="shared" si="40"/>
        <v>0</v>
      </c>
      <c r="Q86" s="51" t="s">
        <v>110</v>
      </c>
      <c r="R86" s="136"/>
      <c r="S86" s="136"/>
      <c r="T86" s="136"/>
      <c r="U86" s="136"/>
      <c r="V86" s="136"/>
    </row>
    <row r="87" spans="1:22" x14ac:dyDescent="0.3">
      <c r="A87" s="1">
        <f t="shared" si="41"/>
        <v>87</v>
      </c>
      <c r="C87" s="44" t="s">
        <v>111</v>
      </c>
      <c r="E87" s="136"/>
      <c r="F87" s="136"/>
      <c r="G87" s="92">
        <v>0.13556000000000001</v>
      </c>
      <c r="H87" s="92"/>
      <c r="I87" s="92">
        <f t="shared" si="36"/>
        <v>0.13556000000000001</v>
      </c>
      <c r="J87" s="92">
        <f t="shared" si="37"/>
        <v>0.13556000000000001</v>
      </c>
      <c r="K87" s="92">
        <f t="shared" si="38"/>
        <v>0.13556000000000001</v>
      </c>
      <c r="L87" s="136"/>
      <c r="M87" s="54">
        <f t="shared" si="35"/>
        <v>0</v>
      </c>
      <c r="N87" s="54">
        <f t="shared" si="39"/>
        <v>0</v>
      </c>
      <c r="O87" s="92"/>
      <c r="P87" s="54">
        <f t="shared" si="40"/>
        <v>0</v>
      </c>
      <c r="Q87" s="51" t="s">
        <v>112</v>
      </c>
      <c r="R87" s="136"/>
      <c r="S87" s="136"/>
      <c r="T87" s="136"/>
      <c r="U87" s="136"/>
      <c r="V87" s="136"/>
    </row>
    <row r="88" spans="1:22" x14ac:dyDescent="0.3">
      <c r="A88" s="1"/>
      <c r="C88" s="44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</row>
    <row r="89" spans="1:22" x14ac:dyDescent="0.3">
      <c r="A89" s="1"/>
      <c r="C89" s="44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</row>
    <row r="90" spans="1:22" x14ac:dyDescent="0.3">
      <c r="A90" s="1"/>
      <c r="C90" s="44" t="s">
        <v>197</v>
      </c>
      <c r="G90" s="17">
        <f>+G56</f>
        <v>27</v>
      </c>
      <c r="I90" s="17">
        <f>+I56</f>
        <v>27</v>
      </c>
      <c r="J90" s="17">
        <f t="shared" ref="J90:K93" si="42">+J56</f>
        <v>27</v>
      </c>
      <c r="K90" s="17">
        <f t="shared" si="42"/>
        <v>27</v>
      </c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</row>
    <row r="91" spans="1:22" x14ac:dyDescent="0.3">
      <c r="A91" s="1"/>
      <c r="C91" s="44" t="s">
        <v>198</v>
      </c>
      <c r="G91" s="17">
        <f>+G57</f>
        <v>110</v>
      </c>
      <c r="I91" s="17">
        <f>+I57</f>
        <v>110</v>
      </c>
      <c r="J91" s="17">
        <f t="shared" si="42"/>
        <v>110</v>
      </c>
      <c r="K91" s="17">
        <f t="shared" si="42"/>
        <v>110</v>
      </c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</row>
    <row r="92" spans="1:22" x14ac:dyDescent="0.3">
      <c r="A92" s="1"/>
      <c r="C92" s="44" t="s">
        <v>199</v>
      </c>
      <c r="G92" s="17">
        <f>+G58</f>
        <v>160</v>
      </c>
      <c r="I92" s="17">
        <f>+I58</f>
        <v>160</v>
      </c>
      <c r="J92" s="17">
        <f t="shared" si="42"/>
        <v>160</v>
      </c>
      <c r="K92" s="17">
        <f t="shared" si="42"/>
        <v>160</v>
      </c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</row>
    <row r="93" spans="1:22" x14ac:dyDescent="0.3">
      <c r="A93" s="1"/>
      <c r="C93" s="44" t="s">
        <v>200</v>
      </c>
      <c r="G93" s="17">
        <f>+G59</f>
        <v>370</v>
      </c>
      <c r="H93" s="88"/>
      <c r="I93" s="17">
        <f>+I59</f>
        <v>370</v>
      </c>
      <c r="J93" s="17">
        <f t="shared" si="42"/>
        <v>370</v>
      </c>
      <c r="K93" s="17">
        <f t="shared" si="42"/>
        <v>370</v>
      </c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</row>
    <row r="94" spans="1:22" x14ac:dyDescent="0.3">
      <c r="A94" s="1"/>
      <c r="C94" s="44" t="s">
        <v>148</v>
      </c>
      <c r="E94" s="136"/>
      <c r="F94" s="136"/>
      <c r="G94" s="88">
        <f>SUM(G60,G83)</f>
        <v>31.340000000000003</v>
      </c>
      <c r="H94" s="88"/>
      <c r="I94" s="88">
        <f>SUM(I60,I83)</f>
        <v>31.340000000000003</v>
      </c>
      <c r="J94" s="88">
        <f t="shared" ref="J94:K94" si="43">SUM(J60,J83)</f>
        <v>31.340000000000003</v>
      </c>
      <c r="K94" s="88">
        <f t="shared" si="43"/>
        <v>31.340000000000003</v>
      </c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</row>
    <row r="95" spans="1:22" x14ac:dyDescent="0.3">
      <c r="A95" s="1"/>
      <c r="C95" s="44" t="s">
        <v>122</v>
      </c>
      <c r="E95" s="136"/>
      <c r="F95" s="136"/>
      <c r="G95" s="92">
        <f>SUM(G61:G82,G84:G86)</f>
        <v>1.7979999999999999E-2</v>
      </c>
      <c r="H95" s="92"/>
      <c r="I95" s="92">
        <f>SUM(I61:I82,I84:I86)</f>
        <v>3.6490000000000002E-2</v>
      </c>
      <c r="J95" s="92">
        <f t="shared" ref="J95:K95" si="44">SUM(J61:J82,J84:J86)</f>
        <v>3.9440000000000003E-2</v>
      </c>
      <c r="K95" s="92">
        <f t="shared" si="44"/>
        <v>3.9239999999999997E-2</v>
      </c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</row>
    <row r="96" spans="1:22" x14ac:dyDescent="0.3">
      <c r="A96" s="1"/>
      <c r="C96" s="44" t="s">
        <v>123</v>
      </c>
      <c r="E96" s="136"/>
      <c r="F96" s="136"/>
      <c r="G96" s="92">
        <f>+G87</f>
        <v>0.13556000000000001</v>
      </c>
      <c r="H96" s="92"/>
      <c r="I96" s="92">
        <f>+I87</f>
        <v>0.13556000000000001</v>
      </c>
      <c r="J96" s="92">
        <f t="shared" ref="J96:K96" si="45">+J87</f>
        <v>0.13556000000000001</v>
      </c>
      <c r="K96" s="92">
        <f t="shared" si="45"/>
        <v>0.13556000000000001</v>
      </c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</row>
    <row r="97" spans="5:22" x14ac:dyDescent="0.3"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</row>
    <row r="98" spans="5:22" x14ac:dyDescent="0.3"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</row>
    <row r="99" spans="5:22" x14ac:dyDescent="0.3"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</row>
    <row r="100" spans="5:22" x14ac:dyDescent="0.3"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</row>
    <row r="101" spans="5:22" x14ac:dyDescent="0.3"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</row>
    <row r="102" spans="5:22" x14ac:dyDescent="0.3"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</row>
    <row r="103" spans="5:22" x14ac:dyDescent="0.3"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</row>
    <row r="104" spans="5:22" x14ac:dyDescent="0.3"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</row>
    <row r="105" spans="5:22" x14ac:dyDescent="0.3"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</row>
    <row r="106" spans="5:22" x14ac:dyDescent="0.3"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</row>
    <row r="107" spans="5:22" x14ac:dyDescent="0.3"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</row>
    <row r="108" spans="5:22" x14ac:dyDescent="0.3"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</row>
    <row r="109" spans="5:22" x14ac:dyDescent="0.3"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</row>
    <row r="110" spans="5:22" x14ac:dyDescent="0.3">
      <c r="I110" s="44"/>
      <c r="J110" s="44"/>
      <c r="K110" s="44"/>
    </row>
    <row r="111" spans="5:22" x14ac:dyDescent="0.3">
      <c r="I111" s="44"/>
      <c r="J111" s="44"/>
      <c r="K111" s="44"/>
    </row>
    <row r="112" spans="5:22" x14ac:dyDescent="0.3">
      <c r="I112" s="44"/>
      <c r="J112" s="44"/>
      <c r="K112" s="44"/>
    </row>
    <row r="113" spans="3:23" x14ac:dyDescent="0.3">
      <c r="I113" s="44"/>
      <c r="J113" s="44"/>
      <c r="K113" s="44"/>
    </row>
    <row r="114" spans="3:23" x14ac:dyDescent="0.3">
      <c r="I114" s="44"/>
      <c r="J114" s="44"/>
      <c r="K114" s="44"/>
    </row>
    <row r="115" spans="3:23" x14ac:dyDescent="0.3">
      <c r="I115" s="44"/>
      <c r="J115" s="44"/>
      <c r="K115" s="44"/>
    </row>
    <row r="116" spans="3:23" x14ac:dyDescent="0.3">
      <c r="I116" s="44"/>
      <c r="J116" s="44"/>
      <c r="K116" s="44"/>
    </row>
    <row r="117" spans="3:23" x14ac:dyDescent="0.3">
      <c r="C117" s="190"/>
      <c r="D117" s="144"/>
      <c r="E117" s="144"/>
      <c r="F117" s="144"/>
      <c r="G117" s="144"/>
      <c r="H117" s="144"/>
      <c r="I117" s="180"/>
      <c r="J117" s="180"/>
      <c r="K117" s="180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</row>
    <row r="118" spans="3:23" x14ac:dyDescent="0.3">
      <c r="C118" s="163"/>
      <c r="D118" s="163"/>
      <c r="E118" s="146"/>
      <c r="F118" s="146"/>
      <c r="G118" s="146"/>
      <c r="H118" s="147"/>
      <c r="I118" s="146"/>
      <c r="J118" s="146"/>
      <c r="K118" s="146"/>
      <c r="L118" s="147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8"/>
    </row>
    <row r="119" spans="3:23" x14ac:dyDescent="0.3">
      <c r="I119" s="44"/>
      <c r="J119" s="44"/>
      <c r="K119" s="44"/>
    </row>
    <row r="120" spans="3:23" x14ac:dyDescent="0.3">
      <c r="C120" s="163"/>
      <c r="D120" s="163"/>
      <c r="E120" s="146"/>
      <c r="F120" s="146"/>
      <c r="G120" s="146"/>
      <c r="H120" s="147"/>
      <c r="I120" s="146"/>
      <c r="J120" s="146"/>
      <c r="K120" s="146"/>
      <c r="L120" s="147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8"/>
    </row>
    <row r="121" spans="3:23" x14ac:dyDescent="0.3">
      <c r="I121" s="44"/>
      <c r="J121" s="44"/>
      <c r="K121" s="44"/>
    </row>
    <row r="122" spans="3:23" x14ac:dyDescent="0.3">
      <c r="I122" s="44"/>
      <c r="J122" s="44"/>
      <c r="K122" s="44"/>
    </row>
    <row r="123" spans="3:23" x14ac:dyDescent="0.3">
      <c r="I123" s="44"/>
      <c r="J123" s="44"/>
      <c r="K123" s="44"/>
    </row>
    <row r="124" spans="3:23" x14ac:dyDescent="0.3">
      <c r="I124" s="44"/>
      <c r="J124" s="44"/>
      <c r="K124" s="44"/>
    </row>
    <row r="125" spans="3:23" x14ac:dyDescent="0.3">
      <c r="I125" s="44"/>
      <c r="J125" s="44"/>
      <c r="K125" s="44"/>
    </row>
    <row r="126" spans="3:23" x14ac:dyDescent="0.3">
      <c r="I126" s="44"/>
      <c r="J126" s="44"/>
      <c r="K126" s="44"/>
    </row>
    <row r="127" spans="3:23" x14ac:dyDescent="0.3">
      <c r="I127" s="44"/>
      <c r="J127" s="44"/>
      <c r="K127" s="44"/>
    </row>
    <row r="128" spans="3:23" x14ac:dyDescent="0.3">
      <c r="I128" s="44"/>
      <c r="J128" s="44"/>
      <c r="K128" s="44"/>
    </row>
    <row r="129" spans="9:11" x14ac:dyDescent="0.3">
      <c r="I129" s="44"/>
      <c r="J129" s="44"/>
      <c r="K129" s="44"/>
    </row>
    <row r="130" spans="9:11" x14ac:dyDescent="0.3">
      <c r="I130" s="44"/>
      <c r="J130" s="44"/>
      <c r="K130" s="44"/>
    </row>
    <row r="131" spans="9:11" x14ac:dyDescent="0.3">
      <c r="I131" s="44"/>
      <c r="J131" s="44"/>
      <c r="K131" s="44"/>
    </row>
    <row r="132" spans="9:11" x14ac:dyDescent="0.3">
      <c r="I132" s="44"/>
      <c r="J132" s="44"/>
      <c r="K132" s="44"/>
    </row>
    <row r="133" spans="9:11" x14ac:dyDescent="0.3">
      <c r="I133" s="44"/>
      <c r="J133" s="44"/>
      <c r="K133" s="44"/>
    </row>
    <row r="134" spans="9:11" x14ac:dyDescent="0.3">
      <c r="I134" s="44"/>
      <c r="J134" s="44"/>
      <c r="K134" s="44"/>
    </row>
    <row r="135" spans="9:11" x14ac:dyDescent="0.3">
      <c r="I135" s="44"/>
      <c r="J135" s="44"/>
      <c r="K135" s="44"/>
    </row>
    <row r="136" spans="9:11" x14ac:dyDescent="0.3">
      <c r="I136" s="44"/>
      <c r="J136" s="44"/>
      <c r="K136" s="44"/>
    </row>
    <row r="137" spans="9:11" x14ac:dyDescent="0.3">
      <c r="I137" s="44"/>
      <c r="J137" s="44"/>
      <c r="K137" s="44"/>
    </row>
    <row r="138" spans="9:11" x14ac:dyDescent="0.3">
      <c r="I138" s="44"/>
      <c r="J138" s="44"/>
      <c r="K138" s="44"/>
    </row>
    <row r="139" spans="9:11" x14ac:dyDescent="0.3">
      <c r="I139" s="44"/>
      <c r="J139" s="44"/>
      <c r="K139" s="44"/>
    </row>
    <row r="140" spans="9:11" x14ac:dyDescent="0.3">
      <c r="I140" s="44"/>
      <c r="J140" s="44"/>
      <c r="K140" s="44"/>
    </row>
    <row r="141" spans="9:11" x14ac:dyDescent="0.3">
      <c r="I141" s="44"/>
      <c r="J141" s="44"/>
      <c r="K141" s="44"/>
    </row>
    <row r="142" spans="9:11" x14ac:dyDescent="0.3">
      <c r="I142" s="44"/>
      <c r="J142" s="44"/>
      <c r="K142" s="44"/>
    </row>
    <row r="143" spans="9:11" x14ac:dyDescent="0.3">
      <c r="I143" s="44"/>
      <c r="J143" s="44"/>
      <c r="K143" s="44"/>
    </row>
    <row r="144" spans="9:11" x14ac:dyDescent="0.3">
      <c r="I144" s="44"/>
      <c r="J144" s="44"/>
      <c r="K144" s="44"/>
    </row>
  </sheetData>
  <mergeCells count="7">
    <mergeCell ref="AA11:AB11"/>
    <mergeCell ref="E11:G11"/>
    <mergeCell ref="I11:K11"/>
    <mergeCell ref="M11:N11"/>
    <mergeCell ref="P11:R11"/>
    <mergeCell ref="T11:U11"/>
    <mergeCell ref="W11:Y11"/>
  </mergeCells>
  <pageMargins left="0.7" right="0.7" top="0.75" bottom="0.75" header="0.3" footer="0.3"/>
  <pageSetup scale="35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19483-BBED-4244-9AB1-8BBF667A8D40}">
  <sheetPr>
    <tabColor theme="3" tint="0.59999389629810485"/>
    <pageSetUpPr fitToPage="1"/>
  </sheetPr>
  <dimension ref="A1:AD129"/>
  <sheetViews>
    <sheetView zoomScaleNormal="100" workbookViewId="0"/>
  </sheetViews>
  <sheetFormatPr defaultColWidth="9.1796875" defaultRowHeight="13" x14ac:dyDescent="0.3"/>
  <cols>
    <col min="1" max="1" width="3.81640625" style="68" customWidth="1"/>
    <col min="2" max="2" width="4.453125" style="68" bestFit="1" customWidth="1"/>
    <col min="3" max="4" width="11.81640625" style="68" customWidth="1"/>
    <col min="5" max="7" width="12.36328125" style="68" bestFit="1" customWidth="1"/>
    <col min="8" max="8" width="2" style="68" customWidth="1"/>
    <col min="9" max="10" width="12.36328125" style="68" bestFit="1" customWidth="1"/>
    <col min="11" max="11" width="12.6328125" style="68" bestFit="1" customWidth="1"/>
    <col min="12" max="12" width="2" style="68" customWidth="1"/>
    <col min="13" max="14" width="11.81640625" style="68" customWidth="1"/>
    <col min="15" max="15" width="2" style="68" customWidth="1"/>
    <col min="16" max="16" width="12.6328125" style="68" bestFit="1" customWidth="1"/>
    <col min="17" max="17" width="12.36328125" style="68" bestFit="1" customWidth="1"/>
    <col min="18" max="18" width="12.6328125" style="68" bestFit="1" customWidth="1"/>
    <col min="19" max="19" width="2" style="68" customWidth="1"/>
    <col min="20" max="21" width="11.81640625" style="68" customWidth="1"/>
    <col min="22" max="22" width="2" style="68" customWidth="1"/>
    <col min="23" max="24" width="12.36328125" style="68" bestFit="1" customWidth="1"/>
    <col min="25" max="25" width="12.6328125" style="68" bestFit="1" customWidth="1"/>
    <col min="26" max="26" width="2" style="68" customWidth="1"/>
    <col min="27" max="28" width="11.81640625" style="68" customWidth="1"/>
    <col min="29" max="29" width="13" style="68" bestFit="1" customWidth="1"/>
    <col min="30" max="30" width="8.453125" style="68" bestFit="1" customWidth="1"/>
    <col min="31" max="16384" width="9.1796875" style="68"/>
  </cols>
  <sheetData>
    <row r="1" spans="1:30" x14ac:dyDescent="0.3">
      <c r="A1" s="67">
        <v>1</v>
      </c>
    </row>
    <row r="2" spans="1:30" x14ac:dyDescent="0.3">
      <c r="A2" s="67">
        <f>A1+1</f>
        <v>2</v>
      </c>
    </row>
    <row r="3" spans="1:30" ht="14" x14ac:dyDescent="0.3">
      <c r="A3" s="67">
        <f t="shared" ref="A3:A66" si="0">A2+1</f>
        <v>3</v>
      </c>
      <c r="B3" s="24" t="s">
        <v>40</v>
      </c>
    </row>
    <row r="4" spans="1:30" ht="14" x14ac:dyDescent="0.3">
      <c r="A4" s="67">
        <f t="shared" si="0"/>
        <v>4</v>
      </c>
      <c r="B4" s="24" t="s">
        <v>41</v>
      </c>
      <c r="C4" s="44"/>
      <c r="D4" s="44"/>
      <c r="E4" s="149"/>
      <c r="F4" s="22"/>
      <c r="G4" s="150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30" ht="14" x14ac:dyDescent="0.3">
      <c r="A5" s="67">
        <f t="shared" si="0"/>
        <v>5</v>
      </c>
      <c r="B5" s="24"/>
      <c r="C5" s="44"/>
      <c r="D5" s="44"/>
      <c r="E5" s="149"/>
      <c r="F5" s="22"/>
      <c r="G5" s="150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30" ht="14" x14ac:dyDescent="0.3">
      <c r="A6" s="67">
        <f t="shared" si="0"/>
        <v>6</v>
      </c>
      <c r="B6" s="24" t="s">
        <v>135</v>
      </c>
      <c r="C6" s="44"/>
      <c r="D6" s="44"/>
      <c r="E6" s="149"/>
      <c r="F6" s="22"/>
      <c r="G6" s="150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0" ht="14" x14ac:dyDescent="0.3">
      <c r="A7" s="67">
        <f t="shared" si="0"/>
        <v>7</v>
      </c>
      <c r="B7" s="24" t="s">
        <v>196</v>
      </c>
      <c r="C7" s="44"/>
      <c r="D7" s="44"/>
      <c r="E7" s="149"/>
      <c r="F7" s="22"/>
      <c r="G7" s="150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0" ht="14" x14ac:dyDescent="0.3">
      <c r="A8" s="67">
        <f t="shared" si="0"/>
        <v>8</v>
      </c>
      <c r="B8" s="151"/>
      <c r="C8" s="44"/>
      <c r="D8" s="44"/>
      <c r="E8" s="149"/>
      <c r="F8" s="22"/>
      <c r="G8" s="150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0" ht="14" x14ac:dyDescent="0.3">
      <c r="A9" s="67">
        <f t="shared" si="0"/>
        <v>9</v>
      </c>
      <c r="B9" s="104"/>
      <c r="C9" s="44"/>
      <c r="D9" s="44"/>
      <c r="E9" s="44"/>
      <c r="F9" s="44"/>
      <c r="G9" s="132"/>
      <c r="H9" s="44"/>
    </row>
    <row r="10" spans="1:30" ht="14" x14ac:dyDescent="0.3">
      <c r="A10" s="67">
        <f t="shared" si="0"/>
        <v>10</v>
      </c>
      <c r="B10" s="31"/>
      <c r="C10" s="44"/>
      <c r="D10" s="44"/>
      <c r="E10" s="44"/>
      <c r="F10" s="44"/>
      <c r="G10" s="132"/>
      <c r="H10" s="44"/>
    </row>
    <row r="11" spans="1:30" ht="14" x14ac:dyDescent="0.3">
      <c r="A11" s="67">
        <f t="shared" si="0"/>
        <v>11</v>
      </c>
      <c r="B11" s="31"/>
      <c r="C11" s="104" t="s">
        <v>2</v>
      </c>
      <c r="D11" s="104" t="s">
        <v>2</v>
      </c>
      <c r="E11" s="32" t="str">
        <f>'EMA R1'!D10</f>
        <v>2024 Monthly Bill</v>
      </c>
      <c r="F11" s="32"/>
      <c r="G11" s="32"/>
      <c r="H11" s="133"/>
      <c r="I11" s="32" t="str">
        <f>'EMA R1'!H10</f>
        <v>2025 Illustrative Monthly Bill</v>
      </c>
      <c r="J11" s="32"/>
      <c r="K11" s="32"/>
      <c r="L11" s="23"/>
      <c r="M11" s="32" t="str">
        <f>'EMA R1'!L10</f>
        <v>2025 vs. 2024</v>
      </c>
      <c r="N11" s="32"/>
      <c r="O11" s="27"/>
      <c r="P11" s="32" t="str">
        <f>'EMA R1'!O10</f>
        <v>2026 Illustrative Monthly Bill</v>
      </c>
      <c r="Q11" s="32"/>
      <c r="R11" s="32"/>
      <c r="S11" s="133"/>
      <c r="T11" s="32" t="str">
        <f>'EMA R1'!S10</f>
        <v>2026 vs. 2025</v>
      </c>
      <c r="U11" s="32"/>
      <c r="V11" s="23"/>
      <c r="W11" s="32" t="str">
        <f>'EMA R1'!V10</f>
        <v>2027 Illustrative Monthly Bill</v>
      </c>
      <c r="X11" s="32"/>
      <c r="Y11" s="32"/>
      <c r="Z11" s="133"/>
      <c r="AA11" s="32" t="str">
        <f>'EMA R1'!Z10</f>
        <v>2027 vs. 2026</v>
      </c>
      <c r="AB11" s="32"/>
      <c r="AC11" s="28"/>
      <c r="AD11" s="28"/>
    </row>
    <row r="12" spans="1:30" ht="14" x14ac:dyDescent="0.3">
      <c r="A12" s="67">
        <f t="shared" si="0"/>
        <v>12</v>
      </c>
      <c r="B12" s="31"/>
      <c r="C12" s="134" t="s">
        <v>165</v>
      </c>
      <c r="D12" s="134" t="s">
        <v>47</v>
      </c>
      <c r="E12" s="34" t="s">
        <v>48</v>
      </c>
      <c r="F12" s="34" t="s">
        <v>49</v>
      </c>
      <c r="G12" s="34" t="s">
        <v>50</v>
      </c>
      <c r="H12" s="34"/>
      <c r="I12" s="34" t="s">
        <v>48</v>
      </c>
      <c r="J12" s="34" t="s">
        <v>49</v>
      </c>
      <c r="K12" s="34" t="s">
        <v>50</v>
      </c>
      <c r="L12" s="23"/>
      <c r="M12" s="34" t="s">
        <v>51</v>
      </c>
      <c r="N12" s="34" t="s">
        <v>14</v>
      </c>
      <c r="O12" s="34"/>
      <c r="P12" s="34" t="s">
        <v>48</v>
      </c>
      <c r="Q12" s="34" t="s">
        <v>49</v>
      </c>
      <c r="R12" s="34" t="s">
        <v>50</v>
      </c>
      <c r="S12" s="34"/>
      <c r="T12" s="34" t="s">
        <v>51</v>
      </c>
      <c r="U12" s="34" t="s">
        <v>14</v>
      </c>
      <c r="V12" s="23"/>
      <c r="W12" s="34" t="s">
        <v>48</v>
      </c>
      <c r="X12" s="34" t="s">
        <v>49</v>
      </c>
      <c r="Y12" s="34" t="s">
        <v>50</v>
      </c>
      <c r="Z12" s="34"/>
      <c r="AA12" s="34" t="s">
        <v>51</v>
      </c>
      <c r="AB12" s="34" t="s">
        <v>14</v>
      </c>
      <c r="AC12" s="28"/>
      <c r="AD12" s="28"/>
    </row>
    <row r="13" spans="1:30" ht="14" x14ac:dyDescent="0.3">
      <c r="A13" s="67">
        <f t="shared" si="0"/>
        <v>13</v>
      </c>
      <c r="B13" s="31"/>
      <c r="C13" s="134"/>
      <c r="D13" s="134"/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7"/>
      <c r="Y13" s="44"/>
      <c r="Z13" s="44"/>
      <c r="AA13" s="44"/>
      <c r="AB13" s="44"/>
      <c r="AC13" s="44"/>
      <c r="AD13" s="44"/>
    </row>
    <row r="14" spans="1:30" ht="14" x14ac:dyDescent="0.3">
      <c r="A14" s="67">
        <f t="shared" si="0"/>
        <v>14</v>
      </c>
      <c r="B14" s="31"/>
      <c r="C14" s="164" t="s">
        <v>126</v>
      </c>
      <c r="D14" s="104">
        <v>285</v>
      </c>
      <c r="E14" s="134"/>
      <c r="F14" s="134"/>
      <c r="G14" s="134"/>
      <c r="H14" s="44"/>
      <c r="I14" s="134"/>
      <c r="J14" s="134"/>
      <c r="K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7"/>
      <c r="Y14" s="44"/>
      <c r="Z14" s="44"/>
      <c r="AA14" s="44"/>
      <c r="AB14" s="44"/>
      <c r="AC14" s="44"/>
      <c r="AD14" s="44"/>
    </row>
    <row r="15" spans="1:30" ht="14" x14ac:dyDescent="0.3">
      <c r="A15" s="67">
        <f t="shared" si="0"/>
        <v>15</v>
      </c>
      <c r="B15" s="31"/>
      <c r="C15" s="105">
        <v>90</v>
      </c>
      <c r="D15" s="106">
        <f t="shared" ref="D15:D22" si="1">C15*$D$14</f>
        <v>25650</v>
      </c>
      <c r="E15" s="135">
        <f>ROUND($G$78+$C15*$G$79+$D15*$G$80,2)</f>
        <v>2544.4899999999998</v>
      </c>
      <c r="F15" s="135">
        <f>ROUND($G$81*$D15,2)</f>
        <v>3107.24</v>
      </c>
      <c r="G15" s="135">
        <f t="shared" ref="G15:G22" si="2">SUM(E15:F15)</f>
        <v>5651.73</v>
      </c>
      <c r="H15" s="136"/>
      <c r="I15" s="135">
        <f>ROUND($I$78+$C15*$I$79+$D15*$I$80,2)</f>
        <v>3019.27</v>
      </c>
      <c r="J15" s="135">
        <f>ROUND($I$81*$D15,2)</f>
        <v>3107.24</v>
      </c>
      <c r="K15" s="135">
        <f t="shared" ref="K15:K22" si="3">SUM(I15:J15)</f>
        <v>6126.51</v>
      </c>
      <c r="L15" s="136"/>
      <c r="M15" s="135">
        <f t="shared" ref="M15:M22" si="4">+K15-G15</f>
        <v>474.78000000000065</v>
      </c>
      <c r="N15" s="137">
        <f t="shared" ref="N15:N32" si="5">+M15/G15</f>
        <v>8.4006136174233498E-2</v>
      </c>
      <c r="O15" s="135"/>
      <c r="P15" s="135">
        <f>ROUND($J$78+$C15*$J$79+$D15*$J$80,2)</f>
        <v>3094.94</v>
      </c>
      <c r="Q15" s="135">
        <f>ROUND($J$81*$D15,2)</f>
        <v>3107.24</v>
      </c>
      <c r="R15" s="135">
        <f t="shared" ref="R15:R22" si="6">SUM(P15:Q15)</f>
        <v>6202.18</v>
      </c>
      <c r="S15" s="136"/>
      <c r="T15" s="135">
        <f>+R15-K15</f>
        <v>75.670000000000073</v>
      </c>
      <c r="U15" s="137">
        <f>+T15/K15</f>
        <v>1.2351240755340328E-2</v>
      </c>
      <c r="V15" s="135"/>
      <c r="W15" s="135">
        <f>ROUND($K$78+$C15*$K$79+$D15*$K$80,2)</f>
        <v>3089.81</v>
      </c>
      <c r="X15" s="135">
        <f>ROUND($K$81*$D15,2)</f>
        <v>3107.24</v>
      </c>
      <c r="Y15" s="135">
        <f t="shared" ref="Y15:Y22" si="7">SUM(W15:X15)</f>
        <v>6197.0499999999993</v>
      </c>
      <c r="Z15" s="136"/>
      <c r="AA15" s="135">
        <f>+Y15-R15</f>
        <v>-5.1300000000010186</v>
      </c>
      <c r="AB15" s="137">
        <f>+AA15/R15</f>
        <v>-8.271285257765847E-4</v>
      </c>
      <c r="AC15" s="37"/>
      <c r="AD15" s="37"/>
    </row>
    <row r="16" spans="1:30" ht="14" x14ac:dyDescent="0.3">
      <c r="A16" s="67">
        <f t="shared" si="0"/>
        <v>16</v>
      </c>
      <c r="B16" s="31"/>
      <c r="C16" s="105">
        <v>125</v>
      </c>
      <c r="D16" s="106">
        <f t="shared" si="1"/>
        <v>35625</v>
      </c>
      <c r="E16" s="135">
        <f t="shared" ref="E16:E42" si="8">ROUND($G$78+$C16*$G$79+$D16*$G$80,2)</f>
        <v>3491.24</v>
      </c>
      <c r="F16" s="135">
        <f>ROUND($G$81*$D16,2)</f>
        <v>4315.6099999999997</v>
      </c>
      <c r="G16" s="135">
        <f t="shared" si="2"/>
        <v>7806.8499999999995</v>
      </c>
      <c r="H16" s="136"/>
      <c r="I16" s="135">
        <f t="shared" ref="I16:I42" si="9">ROUND($I$78+$C16*$I$79+$D16*$I$80,2)</f>
        <v>4150.66</v>
      </c>
      <c r="J16" s="135">
        <f t="shared" ref="J16:J42" si="10">ROUND($I$81*$D16,2)</f>
        <v>4315.6099999999997</v>
      </c>
      <c r="K16" s="135">
        <f t="shared" si="3"/>
        <v>8466.27</v>
      </c>
      <c r="L16" s="136"/>
      <c r="M16" s="135">
        <f t="shared" si="4"/>
        <v>659.42000000000098</v>
      </c>
      <c r="N16" s="137">
        <f t="shared" si="5"/>
        <v>8.4466846423333491E-2</v>
      </c>
      <c r="O16" s="135"/>
      <c r="P16" s="135">
        <f t="shared" ref="P16:P42" si="11">ROUND($J$78+$C16*$J$79+$D16*$J$80,2)</f>
        <v>4255.75</v>
      </c>
      <c r="Q16" s="135">
        <f t="shared" ref="Q16:Q42" si="12">ROUND($J$81*$D16,2)</f>
        <v>4315.6099999999997</v>
      </c>
      <c r="R16" s="135">
        <f t="shared" si="6"/>
        <v>8571.36</v>
      </c>
      <c r="S16" s="136"/>
      <c r="T16" s="135">
        <f t="shared" ref="T16:T42" si="13">+R16-K16</f>
        <v>105.09000000000015</v>
      </c>
      <c r="U16" s="137">
        <f t="shared" ref="U16:U42" si="14">+T16/K16</f>
        <v>1.2412786268333061E-2</v>
      </c>
      <c r="V16" s="135"/>
      <c r="W16" s="135">
        <f t="shared" ref="W16:W42" si="15">ROUND($K$78+$C16*$K$79+$D16*$K$80,2)</f>
        <v>4248.63</v>
      </c>
      <c r="X16" s="135">
        <f t="shared" ref="X16:X42" si="16">ROUND($K$81*$D16,2)</f>
        <v>4315.6099999999997</v>
      </c>
      <c r="Y16" s="135">
        <f t="shared" si="7"/>
        <v>8564.24</v>
      </c>
      <c r="Z16" s="136"/>
      <c r="AA16" s="135">
        <f t="shared" ref="AA16:AA42" si="17">+Y16-R16</f>
        <v>-7.1200000000008004</v>
      </c>
      <c r="AB16" s="137">
        <f t="shared" ref="AB16:AB42" si="18">+AA16/R16</f>
        <v>-8.3067331205325637E-4</v>
      </c>
      <c r="AC16" s="37"/>
      <c r="AD16" s="37"/>
    </row>
    <row r="17" spans="1:30" ht="14" x14ac:dyDescent="0.3">
      <c r="A17" s="67">
        <f t="shared" si="0"/>
        <v>17</v>
      </c>
      <c r="B17" s="31"/>
      <c r="C17" s="105">
        <v>160</v>
      </c>
      <c r="D17" s="106">
        <f t="shared" si="1"/>
        <v>45600</v>
      </c>
      <c r="E17" s="135">
        <f>ROUND($G$78+$C17*$G$79+$D17*$G$80,2)</f>
        <v>4437.9799999999996</v>
      </c>
      <c r="F17" s="135">
        <f t="shared" ref="F17:F42" si="19">ROUND($G$81*$D17,2)</f>
        <v>5523.98</v>
      </c>
      <c r="G17" s="135">
        <f t="shared" si="2"/>
        <v>9961.9599999999991</v>
      </c>
      <c r="H17" s="136"/>
      <c r="I17" s="135">
        <f t="shared" si="9"/>
        <v>5282.04</v>
      </c>
      <c r="J17" s="135">
        <f t="shared" si="10"/>
        <v>5523.98</v>
      </c>
      <c r="K17" s="135">
        <f t="shared" si="3"/>
        <v>10806.02</v>
      </c>
      <c r="L17" s="136"/>
      <c r="M17" s="135">
        <f t="shared" si="4"/>
        <v>844.06000000000131</v>
      </c>
      <c r="N17" s="137">
        <f t="shared" si="5"/>
        <v>8.4728306477841853E-2</v>
      </c>
      <c r="O17" s="135"/>
      <c r="P17" s="135">
        <f>ROUND($J$78+$C17*$J$79+$D17*$J$80,2)</f>
        <v>5416.56</v>
      </c>
      <c r="Q17" s="135">
        <f t="shared" si="12"/>
        <v>5523.98</v>
      </c>
      <c r="R17" s="135">
        <f t="shared" si="6"/>
        <v>10940.54</v>
      </c>
      <c r="S17" s="136"/>
      <c r="T17" s="135">
        <f t="shared" si="13"/>
        <v>134.52000000000044</v>
      </c>
      <c r="U17" s="137">
        <f t="shared" si="14"/>
        <v>1.2448616604448301E-2</v>
      </c>
      <c r="V17" s="135"/>
      <c r="W17" s="135">
        <f t="shared" si="15"/>
        <v>5407.44</v>
      </c>
      <c r="X17" s="135">
        <f>ROUND($K$81*$D17,2)</f>
        <v>5523.98</v>
      </c>
      <c r="Y17" s="135">
        <f t="shared" si="7"/>
        <v>10931.419999999998</v>
      </c>
      <c r="Z17" s="136"/>
      <c r="AA17" s="135">
        <f t="shared" si="17"/>
        <v>-9.1200000000026193</v>
      </c>
      <c r="AB17" s="137">
        <f t="shared" si="18"/>
        <v>-8.3359687913051993E-4</v>
      </c>
      <c r="AC17" s="37"/>
      <c r="AD17" s="37"/>
    </row>
    <row r="18" spans="1:30" ht="14" x14ac:dyDescent="0.3">
      <c r="A18" s="67">
        <f t="shared" si="0"/>
        <v>18</v>
      </c>
      <c r="B18" s="31"/>
      <c r="C18" s="105">
        <v>220</v>
      </c>
      <c r="D18" s="106">
        <f t="shared" si="1"/>
        <v>62700</v>
      </c>
      <c r="E18" s="135">
        <f t="shared" si="8"/>
        <v>6060.98</v>
      </c>
      <c r="F18" s="135">
        <f t="shared" si="19"/>
        <v>7595.48</v>
      </c>
      <c r="G18" s="135">
        <f t="shared" si="2"/>
        <v>13656.46</v>
      </c>
      <c r="H18" s="136"/>
      <c r="I18" s="135">
        <f>ROUND($I$78+$C18*$I$79+$D18*$I$80,2)</f>
        <v>7221.56</v>
      </c>
      <c r="J18" s="135">
        <f>ROUND($I$81*$D18,2)</f>
        <v>7595.48</v>
      </c>
      <c r="K18" s="135">
        <f t="shared" si="3"/>
        <v>14817.04</v>
      </c>
      <c r="L18" s="136"/>
      <c r="M18" s="135">
        <f t="shared" si="4"/>
        <v>1160.5800000000017</v>
      </c>
      <c r="N18" s="137">
        <f t="shared" si="5"/>
        <v>8.4983956310786382E-2</v>
      </c>
      <c r="O18" s="135"/>
      <c r="P18" s="135">
        <f t="shared" si="11"/>
        <v>7406.52</v>
      </c>
      <c r="Q18" s="135">
        <f>ROUND($J$81*$D18,2)</f>
        <v>7595.48</v>
      </c>
      <c r="R18" s="135">
        <f t="shared" si="6"/>
        <v>15002</v>
      </c>
      <c r="S18" s="136"/>
      <c r="T18" s="135">
        <f t="shared" si="13"/>
        <v>184.95999999999913</v>
      </c>
      <c r="U18" s="137">
        <f t="shared" si="14"/>
        <v>1.248292506465523E-2</v>
      </c>
      <c r="V18" s="135"/>
      <c r="W18" s="135">
        <f>ROUND($K$78+$C18*$K$79+$D18*$K$80,2)</f>
        <v>7393.98</v>
      </c>
      <c r="X18" s="135">
        <f t="shared" si="16"/>
        <v>7595.48</v>
      </c>
      <c r="Y18" s="135">
        <f t="shared" si="7"/>
        <v>14989.46</v>
      </c>
      <c r="Z18" s="136"/>
      <c r="AA18" s="135">
        <f t="shared" si="17"/>
        <v>-12.540000000000873</v>
      </c>
      <c r="AB18" s="137">
        <f t="shared" si="18"/>
        <v>-8.3588854819363243E-4</v>
      </c>
      <c r="AC18" s="37"/>
      <c r="AD18" s="37"/>
    </row>
    <row r="19" spans="1:30" ht="14" x14ac:dyDescent="0.3">
      <c r="A19" s="67">
        <f t="shared" si="0"/>
        <v>19</v>
      </c>
      <c r="B19" s="31"/>
      <c r="C19" s="105">
        <v>320</v>
      </c>
      <c r="D19" s="106">
        <f t="shared" si="1"/>
        <v>91200</v>
      </c>
      <c r="E19" s="135">
        <f t="shared" si="8"/>
        <v>8765.9699999999993</v>
      </c>
      <c r="F19" s="135">
        <f t="shared" si="19"/>
        <v>11047.97</v>
      </c>
      <c r="G19" s="135">
        <f>SUM(E19:F19)</f>
        <v>19813.939999999999</v>
      </c>
      <c r="H19" s="136"/>
      <c r="I19" s="135">
        <f t="shared" si="9"/>
        <v>10454.08</v>
      </c>
      <c r="J19" s="135">
        <f t="shared" si="10"/>
        <v>11047.97</v>
      </c>
      <c r="K19" s="135">
        <f t="shared" si="3"/>
        <v>21502.05</v>
      </c>
      <c r="L19" s="136"/>
      <c r="M19" s="135">
        <f t="shared" si="4"/>
        <v>1688.1100000000006</v>
      </c>
      <c r="N19" s="137">
        <f t="shared" si="5"/>
        <v>8.5198097904808465E-2</v>
      </c>
      <c r="O19" s="135"/>
      <c r="P19" s="135">
        <f t="shared" si="11"/>
        <v>10723.12</v>
      </c>
      <c r="Q19" s="135">
        <f t="shared" si="12"/>
        <v>11047.97</v>
      </c>
      <c r="R19" s="135">
        <f t="shared" si="6"/>
        <v>21771.09</v>
      </c>
      <c r="S19" s="136"/>
      <c r="T19" s="135">
        <f t="shared" si="13"/>
        <v>269.04000000000087</v>
      </c>
      <c r="U19" s="137">
        <f t="shared" si="14"/>
        <v>1.2512295339281644E-2</v>
      </c>
      <c r="V19" s="135"/>
      <c r="W19" s="135">
        <f t="shared" si="15"/>
        <v>10704.88</v>
      </c>
      <c r="X19" s="135">
        <f t="shared" si="16"/>
        <v>11047.97</v>
      </c>
      <c r="Y19" s="135">
        <f t="shared" si="7"/>
        <v>21752.85</v>
      </c>
      <c r="Z19" s="136"/>
      <c r="AA19" s="135">
        <f t="shared" si="17"/>
        <v>-18.240000000001601</v>
      </c>
      <c r="AB19" s="137">
        <f t="shared" si="18"/>
        <v>-8.3780830449929698E-4</v>
      </c>
      <c r="AC19" s="37"/>
      <c r="AD19" s="37"/>
    </row>
    <row r="20" spans="1:30" ht="14" x14ac:dyDescent="0.3">
      <c r="A20" s="67">
        <f t="shared" si="0"/>
        <v>20</v>
      </c>
      <c r="B20" s="31"/>
      <c r="C20" s="105">
        <v>480</v>
      </c>
      <c r="D20" s="106">
        <f t="shared" si="1"/>
        <v>136800</v>
      </c>
      <c r="E20" s="135">
        <f t="shared" si="8"/>
        <v>13093.95</v>
      </c>
      <c r="F20" s="135">
        <f t="shared" si="19"/>
        <v>16571.95</v>
      </c>
      <c r="G20" s="135">
        <f t="shared" si="2"/>
        <v>29665.9</v>
      </c>
      <c r="H20" s="136"/>
      <c r="I20" s="135">
        <f t="shared" si="9"/>
        <v>15626.12</v>
      </c>
      <c r="J20" s="135">
        <f t="shared" si="10"/>
        <v>16571.95</v>
      </c>
      <c r="K20" s="135">
        <f t="shared" si="3"/>
        <v>32198.07</v>
      </c>
      <c r="L20" s="136"/>
      <c r="M20" s="135">
        <f t="shared" si="4"/>
        <v>2532.1699999999983</v>
      </c>
      <c r="N20" s="137">
        <f t="shared" si="5"/>
        <v>8.5356250779514461E-2</v>
      </c>
      <c r="O20" s="135"/>
      <c r="P20" s="135">
        <f t="shared" si="11"/>
        <v>16029.68</v>
      </c>
      <c r="Q20" s="135">
        <f t="shared" si="12"/>
        <v>16571.95</v>
      </c>
      <c r="R20" s="135">
        <f t="shared" si="6"/>
        <v>32601.63</v>
      </c>
      <c r="S20" s="136"/>
      <c r="T20" s="135">
        <f t="shared" si="13"/>
        <v>403.56000000000131</v>
      </c>
      <c r="U20" s="137">
        <f t="shared" si="14"/>
        <v>1.2533670496399359E-2</v>
      </c>
      <c r="V20" s="135"/>
      <c r="W20" s="135">
        <f t="shared" si="15"/>
        <v>16002.32</v>
      </c>
      <c r="X20" s="135">
        <f t="shared" si="16"/>
        <v>16571.95</v>
      </c>
      <c r="Y20" s="135">
        <f t="shared" si="7"/>
        <v>32574.27</v>
      </c>
      <c r="Z20" s="136"/>
      <c r="AA20" s="135">
        <f t="shared" si="17"/>
        <v>-27.360000000000582</v>
      </c>
      <c r="AB20" s="137">
        <f t="shared" si="18"/>
        <v>-8.3922184258887001E-4</v>
      </c>
      <c r="AC20" s="37"/>
      <c r="AD20" s="37"/>
    </row>
    <row r="21" spans="1:30" ht="14" x14ac:dyDescent="0.3">
      <c r="A21" s="67">
        <f t="shared" si="0"/>
        <v>21</v>
      </c>
      <c r="B21" s="31"/>
      <c r="C21" s="105">
        <v>920</v>
      </c>
      <c r="D21" s="106">
        <f t="shared" si="1"/>
        <v>262200</v>
      </c>
      <c r="E21" s="135">
        <f t="shared" si="8"/>
        <v>24995.91</v>
      </c>
      <c r="F21" s="135">
        <f t="shared" si="19"/>
        <v>31762.91</v>
      </c>
      <c r="G21" s="135">
        <f t="shared" si="2"/>
        <v>56758.82</v>
      </c>
      <c r="H21" s="136"/>
      <c r="I21" s="135">
        <f t="shared" si="9"/>
        <v>29849.23</v>
      </c>
      <c r="J21" s="135">
        <f t="shared" si="10"/>
        <v>31762.91</v>
      </c>
      <c r="K21" s="135">
        <f t="shared" si="3"/>
        <v>61612.14</v>
      </c>
      <c r="L21" s="136"/>
      <c r="M21" s="135">
        <f t="shared" si="4"/>
        <v>4853.32</v>
      </c>
      <c r="N21" s="137">
        <f t="shared" si="5"/>
        <v>8.5507767779527483E-2</v>
      </c>
      <c r="O21" s="135"/>
      <c r="P21" s="135">
        <f t="shared" si="11"/>
        <v>30622.720000000001</v>
      </c>
      <c r="Q21" s="135">
        <f t="shared" si="12"/>
        <v>31762.91</v>
      </c>
      <c r="R21" s="135">
        <f t="shared" si="6"/>
        <v>62385.630000000005</v>
      </c>
      <c r="S21" s="136"/>
      <c r="T21" s="135">
        <f t="shared" si="13"/>
        <v>773.49000000000524</v>
      </c>
      <c r="U21" s="137">
        <f t="shared" si="14"/>
        <v>1.2554181692114658E-2</v>
      </c>
      <c r="V21" s="135"/>
      <c r="W21" s="135">
        <f t="shared" si="15"/>
        <v>30570.28</v>
      </c>
      <c r="X21" s="135">
        <f t="shared" si="16"/>
        <v>31762.91</v>
      </c>
      <c r="Y21" s="135">
        <f t="shared" si="7"/>
        <v>62333.19</v>
      </c>
      <c r="Z21" s="136"/>
      <c r="AA21" s="135">
        <f t="shared" si="17"/>
        <v>-52.440000000002328</v>
      </c>
      <c r="AB21" s="137">
        <f t="shared" si="18"/>
        <v>-8.4057819084302468E-4</v>
      </c>
      <c r="AC21" s="37"/>
      <c r="AD21" s="37"/>
    </row>
    <row r="22" spans="1:30" ht="14" x14ac:dyDescent="0.3">
      <c r="A22" s="67">
        <f t="shared" si="0"/>
        <v>22</v>
      </c>
      <c r="B22" s="31" t="s">
        <v>52</v>
      </c>
      <c r="C22" s="106">
        <v>332</v>
      </c>
      <c r="D22" s="106">
        <f t="shared" si="1"/>
        <v>94620</v>
      </c>
      <c r="E22" s="135">
        <f t="shared" si="8"/>
        <v>9090.57</v>
      </c>
      <c r="F22" s="135">
        <f t="shared" si="19"/>
        <v>11462.27</v>
      </c>
      <c r="G22" s="135">
        <f t="shared" si="2"/>
        <v>20552.84</v>
      </c>
      <c r="H22" s="136"/>
      <c r="I22" s="135">
        <f t="shared" si="9"/>
        <v>10841.98</v>
      </c>
      <c r="J22" s="135">
        <f t="shared" si="10"/>
        <v>11462.27</v>
      </c>
      <c r="K22" s="135">
        <f t="shared" si="3"/>
        <v>22304.25</v>
      </c>
      <c r="L22" s="136"/>
      <c r="M22" s="135">
        <f t="shared" si="4"/>
        <v>1751.4099999999999</v>
      </c>
      <c r="N22" s="137">
        <f t="shared" si="5"/>
        <v>8.5214987320487087E-2</v>
      </c>
      <c r="O22" s="135"/>
      <c r="P22" s="135">
        <f t="shared" si="11"/>
        <v>11121.11</v>
      </c>
      <c r="Q22" s="135">
        <f t="shared" si="12"/>
        <v>11462.27</v>
      </c>
      <c r="R22" s="135">
        <f t="shared" si="6"/>
        <v>22583.38</v>
      </c>
      <c r="S22" s="136"/>
      <c r="T22" s="135">
        <f t="shared" si="13"/>
        <v>279.13000000000102</v>
      </c>
      <c r="U22" s="137">
        <f t="shared" si="14"/>
        <v>1.2514655278702535E-2</v>
      </c>
      <c r="V22" s="135"/>
      <c r="W22" s="135">
        <f t="shared" si="15"/>
        <v>11102.19</v>
      </c>
      <c r="X22" s="135">
        <f t="shared" si="16"/>
        <v>11462.27</v>
      </c>
      <c r="Y22" s="135">
        <f t="shared" si="7"/>
        <v>22564.46</v>
      </c>
      <c r="Z22" s="136"/>
      <c r="AA22" s="135">
        <f t="shared" si="17"/>
        <v>-18.920000000001892</v>
      </c>
      <c r="AB22" s="137">
        <f t="shared" si="18"/>
        <v>-8.3778424664518296E-4</v>
      </c>
      <c r="AC22" s="37"/>
      <c r="AD22" s="37"/>
    </row>
    <row r="23" spans="1:30" ht="14" x14ac:dyDescent="0.3">
      <c r="A23" s="67">
        <f t="shared" si="0"/>
        <v>23</v>
      </c>
      <c r="B23" s="31"/>
      <c r="C23" s="130"/>
      <c r="D23" s="158"/>
      <c r="E23" s="135"/>
      <c r="F23" s="135"/>
      <c r="G23" s="153"/>
      <c r="H23" s="159"/>
      <c r="I23" s="135"/>
      <c r="J23" s="135"/>
      <c r="K23" s="159"/>
      <c r="L23" s="159"/>
      <c r="M23" s="159"/>
      <c r="N23" s="137"/>
      <c r="O23" s="159"/>
      <c r="P23" s="135"/>
      <c r="Q23" s="135"/>
      <c r="R23" s="159"/>
      <c r="S23" s="159"/>
      <c r="T23" s="135"/>
      <c r="U23" s="137"/>
      <c r="V23" s="159"/>
      <c r="W23" s="135"/>
      <c r="X23" s="135"/>
      <c r="Y23" s="159"/>
      <c r="Z23" s="159"/>
      <c r="AA23" s="135"/>
      <c r="AB23" s="137"/>
      <c r="AC23" s="37"/>
      <c r="AD23" s="37"/>
    </row>
    <row r="24" spans="1:30" ht="14" x14ac:dyDescent="0.3">
      <c r="A24" s="67">
        <f t="shared" si="0"/>
        <v>24</v>
      </c>
      <c r="B24" s="31"/>
      <c r="C24" s="164" t="s">
        <v>126</v>
      </c>
      <c r="D24" s="104">
        <v>425</v>
      </c>
      <c r="E24" s="135"/>
      <c r="F24" s="135"/>
      <c r="G24" s="136"/>
      <c r="H24" s="136"/>
      <c r="I24" s="135"/>
      <c r="J24" s="135"/>
      <c r="K24" s="136"/>
      <c r="L24" s="136"/>
      <c r="M24" s="136"/>
      <c r="O24" s="136"/>
      <c r="P24" s="135"/>
      <c r="Q24" s="135"/>
      <c r="R24" s="136"/>
      <c r="S24" s="136"/>
      <c r="T24" s="135"/>
      <c r="U24" s="137"/>
      <c r="V24" s="136"/>
      <c r="W24" s="135"/>
      <c r="X24" s="135"/>
      <c r="Y24" s="136"/>
      <c r="Z24" s="136"/>
      <c r="AA24" s="135"/>
      <c r="AB24" s="137"/>
    </row>
    <row r="25" spans="1:30" ht="14" x14ac:dyDescent="0.3">
      <c r="A25" s="67">
        <f t="shared" si="0"/>
        <v>25</v>
      </c>
      <c r="B25" s="31"/>
      <c r="C25" s="105">
        <v>90</v>
      </c>
      <c r="D25" s="106">
        <f t="shared" ref="D25:D32" si="20">C25*$D$24</f>
        <v>38250</v>
      </c>
      <c r="E25" s="135">
        <f t="shared" si="8"/>
        <v>2949.46</v>
      </c>
      <c r="F25" s="135">
        <f t="shared" si="19"/>
        <v>4633.6099999999997</v>
      </c>
      <c r="G25" s="135">
        <f t="shared" ref="G25:G32" si="21">SUM(E25:F25)</f>
        <v>7583.07</v>
      </c>
      <c r="H25" s="136"/>
      <c r="I25" s="135">
        <f t="shared" si="9"/>
        <v>3657.46</v>
      </c>
      <c r="J25" s="135">
        <f t="shared" si="10"/>
        <v>4633.6099999999997</v>
      </c>
      <c r="K25" s="135">
        <f t="shared" ref="K25:K32" si="22">SUM(I25:J25)</f>
        <v>8291.07</v>
      </c>
      <c r="L25" s="136"/>
      <c r="M25" s="135">
        <f t="shared" ref="M25:M32" si="23">+K25-G25</f>
        <v>708</v>
      </c>
      <c r="N25" s="137">
        <f t="shared" si="5"/>
        <v>9.3365879518453612E-2</v>
      </c>
      <c r="O25" s="135"/>
      <c r="P25" s="135">
        <f t="shared" si="11"/>
        <v>3770.3</v>
      </c>
      <c r="Q25" s="135">
        <f t="shared" si="12"/>
        <v>4633.6099999999997</v>
      </c>
      <c r="R25" s="135">
        <f t="shared" ref="R25:R32" si="24">SUM(P25:Q25)</f>
        <v>8403.91</v>
      </c>
      <c r="S25" s="136"/>
      <c r="T25" s="135">
        <f t="shared" si="13"/>
        <v>112.84000000000015</v>
      </c>
      <c r="U25" s="137">
        <f t="shared" si="14"/>
        <v>1.3609823581274811E-2</v>
      </c>
      <c r="V25" s="135"/>
      <c r="W25" s="135">
        <f t="shared" si="15"/>
        <v>3762.65</v>
      </c>
      <c r="X25" s="135">
        <f t="shared" si="16"/>
        <v>4633.6099999999997</v>
      </c>
      <c r="Y25" s="135">
        <f t="shared" ref="Y25:Y32" si="25">SUM(W25:X25)</f>
        <v>8396.26</v>
      </c>
      <c r="Z25" s="136"/>
      <c r="AA25" s="135">
        <f t="shared" si="17"/>
        <v>-7.6499999999996362</v>
      </c>
      <c r="AB25" s="137">
        <f t="shared" si="18"/>
        <v>-9.1029056712882883E-4</v>
      </c>
      <c r="AC25" s="37"/>
      <c r="AD25" s="37"/>
    </row>
    <row r="26" spans="1:30" ht="14" x14ac:dyDescent="0.3">
      <c r="A26" s="67">
        <f t="shared" si="0"/>
        <v>26</v>
      </c>
      <c r="B26" s="31"/>
      <c r="C26" s="105">
        <v>125</v>
      </c>
      <c r="D26" s="106">
        <f t="shared" si="20"/>
        <v>53125</v>
      </c>
      <c r="E26" s="135">
        <f t="shared" si="8"/>
        <v>4053.69</v>
      </c>
      <c r="F26" s="135">
        <f t="shared" si="19"/>
        <v>6435.56</v>
      </c>
      <c r="G26" s="135">
        <f t="shared" si="21"/>
        <v>10489.25</v>
      </c>
      <c r="H26" s="136"/>
      <c r="I26" s="135">
        <f t="shared" si="9"/>
        <v>5037.03</v>
      </c>
      <c r="J26" s="135">
        <f t="shared" si="10"/>
        <v>6435.56</v>
      </c>
      <c r="K26" s="135">
        <f t="shared" si="22"/>
        <v>11472.59</v>
      </c>
      <c r="L26" s="136"/>
      <c r="M26" s="135">
        <f t="shared" si="23"/>
        <v>983.34000000000015</v>
      </c>
      <c r="N26" s="137">
        <f t="shared" si="5"/>
        <v>9.3747408060633516E-2</v>
      </c>
      <c r="O26" s="135"/>
      <c r="P26" s="135">
        <f t="shared" si="11"/>
        <v>5193.75</v>
      </c>
      <c r="Q26" s="135">
        <f t="shared" si="12"/>
        <v>6435.56</v>
      </c>
      <c r="R26" s="135">
        <f t="shared" si="24"/>
        <v>11629.310000000001</v>
      </c>
      <c r="S26" s="136"/>
      <c r="T26" s="135">
        <f t="shared" si="13"/>
        <v>156.72000000000116</v>
      </c>
      <c r="U26" s="137">
        <f t="shared" si="14"/>
        <v>1.3660385318398126E-2</v>
      </c>
      <c r="V26" s="135"/>
      <c r="W26" s="135">
        <f t="shared" si="15"/>
        <v>5183.13</v>
      </c>
      <c r="X26" s="135">
        <f t="shared" si="16"/>
        <v>6435.56</v>
      </c>
      <c r="Y26" s="135">
        <f t="shared" si="25"/>
        <v>11618.69</v>
      </c>
      <c r="Z26" s="136"/>
      <c r="AA26" s="135">
        <f t="shared" si="17"/>
        <v>-10.6200000000008</v>
      </c>
      <c r="AB26" s="137">
        <f t="shared" si="18"/>
        <v>-9.1320981210414023E-4</v>
      </c>
      <c r="AC26" s="37"/>
      <c r="AD26" s="37"/>
    </row>
    <row r="27" spans="1:30" ht="14" x14ac:dyDescent="0.3">
      <c r="A27" s="67">
        <f t="shared" si="0"/>
        <v>27</v>
      </c>
      <c r="B27" s="31"/>
      <c r="C27" s="105">
        <v>160</v>
      </c>
      <c r="D27" s="106">
        <f t="shared" si="20"/>
        <v>68000</v>
      </c>
      <c r="E27" s="135">
        <f t="shared" si="8"/>
        <v>5157.92</v>
      </c>
      <c r="F27" s="135">
        <f t="shared" si="19"/>
        <v>8237.52</v>
      </c>
      <c r="G27" s="135">
        <f t="shared" si="21"/>
        <v>13395.44</v>
      </c>
      <c r="H27" s="136"/>
      <c r="I27" s="135">
        <f t="shared" si="9"/>
        <v>6416.6</v>
      </c>
      <c r="J27" s="135">
        <f>ROUND($I$81*$D27,2)</f>
        <v>8237.52</v>
      </c>
      <c r="K27" s="135">
        <f t="shared" si="22"/>
        <v>14654.12</v>
      </c>
      <c r="L27" s="136"/>
      <c r="M27" s="135">
        <f t="shared" si="23"/>
        <v>1258.6800000000003</v>
      </c>
      <c r="N27" s="137">
        <f t="shared" si="5"/>
        <v>9.3963318860746659E-2</v>
      </c>
      <c r="O27" s="135"/>
      <c r="P27" s="135">
        <f t="shared" si="11"/>
        <v>6617.2</v>
      </c>
      <c r="Q27" s="135">
        <f t="shared" si="12"/>
        <v>8237.52</v>
      </c>
      <c r="R27" s="135">
        <f t="shared" si="24"/>
        <v>14854.720000000001</v>
      </c>
      <c r="S27" s="136"/>
      <c r="T27" s="135">
        <f t="shared" si="13"/>
        <v>200.60000000000036</v>
      </c>
      <c r="U27" s="137">
        <f t="shared" si="14"/>
        <v>1.368898303002844E-2</v>
      </c>
      <c r="V27" s="135"/>
      <c r="W27" s="135">
        <f t="shared" si="15"/>
        <v>6603.6</v>
      </c>
      <c r="X27" s="135">
        <f t="shared" si="16"/>
        <v>8237.52</v>
      </c>
      <c r="Y27" s="135">
        <f t="shared" si="25"/>
        <v>14841.12</v>
      </c>
      <c r="Z27" s="136"/>
      <c r="AA27" s="135">
        <f t="shared" si="17"/>
        <v>-13.600000000000364</v>
      </c>
      <c r="AB27" s="137">
        <f t="shared" si="18"/>
        <v>-9.155339178389335E-4</v>
      </c>
      <c r="AC27" s="37"/>
      <c r="AD27" s="37"/>
    </row>
    <row r="28" spans="1:30" ht="14" x14ac:dyDescent="0.3">
      <c r="A28" s="67">
        <f t="shared" si="0"/>
        <v>28</v>
      </c>
      <c r="B28" s="31"/>
      <c r="C28" s="105">
        <v>230</v>
      </c>
      <c r="D28" s="106">
        <f t="shared" si="20"/>
        <v>97750</v>
      </c>
      <c r="E28" s="135">
        <f t="shared" si="8"/>
        <v>7366.39</v>
      </c>
      <c r="F28" s="135">
        <f t="shared" si="19"/>
        <v>11841.44</v>
      </c>
      <c r="G28" s="135">
        <f t="shared" si="21"/>
        <v>19207.830000000002</v>
      </c>
      <c r="H28" s="136"/>
      <c r="I28" s="135">
        <f t="shared" si="9"/>
        <v>9175.74</v>
      </c>
      <c r="J28" s="135">
        <f t="shared" si="10"/>
        <v>11841.44</v>
      </c>
      <c r="K28" s="135">
        <f t="shared" si="22"/>
        <v>21017.18</v>
      </c>
      <c r="L28" s="136"/>
      <c r="M28" s="135">
        <f t="shared" si="23"/>
        <v>1809.3499999999985</v>
      </c>
      <c r="N28" s="137">
        <f t="shared" si="5"/>
        <v>9.4198563814860831E-2</v>
      </c>
      <c r="O28" s="135"/>
      <c r="P28" s="135">
        <f>ROUND($J$78+$C28*$J$79+$D28*$J$80,2)</f>
        <v>9464.1</v>
      </c>
      <c r="Q28" s="135">
        <f t="shared" si="12"/>
        <v>11841.44</v>
      </c>
      <c r="R28" s="135">
        <f t="shared" si="24"/>
        <v>21305.54</v>
      </c>
      <c r="S28" s="136"/>
      <c r="T28" s="135">
        <f t="shared" si="13"/>
        <v>288.36000000000058</v>
      </c>
      <c r="U28" s="137">
        <f t="shared" si="14"/>
        <v>1.3720204137757805E-2</v>
      </c>
      <c r="V28" s="135"/>
      <c r="W28" s="135">
        <f t="shared" si="15"/>
        <v>9444.5499999999993</v>
      </c>
      <c r="X28" s="135">
        <f t="shared" si="16"/>
        <v>11841.44</v>
      </c>
      <c r="Y28" s="135">
        <f t="shared" si="25"/>
        <v>21285.989999999998</v>
      </c>
      <c r="Z28" s="136"/>
      <c r="AA28" s="135">
        <f t="shared" si="17"/>
        <v>-19.55000000000291</v>
      </c>
      <c r="AB28" s="137">
        <f t="shared" si="18"/>
        <v>-9.1760171298183057E-4</v>
      </c>
      <c r="AC28" s="37"/>
      <c r="AD28" s="37"/>
    </row>
    <row r="29" spans="1:30" ht="14" x14ac:dyDescent="0.3">
      <c r="A29" s="67">
        <f t="shared" si="0"/>
        <v>29</v>
      </c>
      <c r="B29" s="31"/>
      <c r="C29" s="105">
        <v>350</v>
      </c>
      <c r="D29" s="106">
        <f t="shared" si="20"/>
        <v>148750</v>
      </c>
      <c r="E29" s="135">
        <f>ROUND($G$78+$C29*$G$79+$D29*$G$80,2)</f>
        <v>11152.33</v>
      </c>
      <c r="F29" s="135">
        <f>ROUND($G$81*$D29,2)</f>
        <v>18019.580000000002</v>
      </c>
      <c r="G29" s="135">
        <f t="shared" si="21"/>
        <v>29171.910000000003</v>
      </c>
      <c r="H29" s="136"/>
      <c r="I29" s="135">
        <f>ROUND($I$78+$C29*$I$79+$D29*$I$80,2)</f>
        <v>13905.69</v>
      </c>
      <c r="J29" s="135">
        <f t="shared" si="10"/>
        <v>18019.580000000002</v>
      </c>
      <c r="K29" s="135">
        <f t="shared" si="22"/>
        <v>31925.270000000004</v>
      </c>
      <c r="L29" s="136"/>
      <c r="M29" s="135">
        <f t="shared" si="23"/>
        <v>2753.3600000000006</v>
      </c>
      <c r="N29" s="137">
        <f t="shared" si="5"/>
        <v>9.4383946748773054E-2</v>
      </c>
      <c r="O29" s="135"/>
      <c r="P29" s="135">
        <f t="shared" si="11"/>
        <v>14344.5</v>
      </c>
      <c r="Q29" s="135">
        <f>ROUND($J$81*$D29,2)</f>
        <v>18019.580000000002</v>
      </c>
      <c r="R29" s="135">
        <f t="shared" si="24"/>
        <v>32364.080000000002</v>
      </c>
      <c r="S29" s="136"/>
      <c r="T29" s="135">
        <f t="shared" si="13"/>
        <v>438.80999999999767</v>
      </c>
      <c r="U29" s="137">
        <f t="shared" si="14"/>
        <v>1.3744911162849918E-2</v>
      </c>
      <c r="V29" s="135"/>
      <c r="W29" s="135">
        <f>ROUND($K$78+$C29*$K$79+$D29*$K$80,2)</f>
        <v>14314.75</v>
      </c>
      <c r="X29" s="135">
        <f t="shared" si="16"/>
        <v>18019.580000000002</v>
      </c>
      <c r="Y29" s="135">
        <f t="shared" si="25"/>
        <v>32334.33</v>
      </c>
      <c r="Z29" s="136"/>
      <c r="AA29" s="135">
        <f t="shared" si="17"/>
        <v>-29.75</v>
      </c>
      <c r="AB29" s="137">
        <f t="shared" si="18"/>
        <v>-9.1922897236689557E-4</v>
      </c>
      <c r="AC29" s="37"/>
      <c r="AD29" s="37"/>
    </row>
    <row r="30" spans="1:30" ht="14" x14ac:dyDescent="0.3">
      <c r="A30" s="67">
        <f t="shared" si="0"/>
        <v>30</v>
      </c>
      <c r="B30" s="31"/>
      <c r="C30" s="105">
        <v>550</v>
      </c>
      <c r="D30" s="106">
        <f t="shared" si="20"/>
        <v>233750</v>
      </c>
      <c r="E30" s="135">
        <f t="shared" si="8"/>
        <v>17462.23</v>
      </c>
      <c r="F30" s="135">
        <f t="shared" si="19"/>
        <v>28316.48</v>
      </c>
      <c r="G30" s="135">
        <f t="shared" si="21"/>
        <v>45778.71</v>
      </c>
      <c r="H30" s="136"/>
      <c r="I30" s="135">
        <f t="shared" si="9"/>
        <v>21788.94</v>
      </c>
      <c r="J30" s="135">
        <f t="shared" si="10"/>
        <v>28316.48</v>
      </c>
      <c r="K30" s="135">
        <f t="shared" si="22"/>
        <v>50105.42</v>
      </c>
      <c r="L30" s="136"/>
      <c r="M30" s="135">
        <f t="shared" si="23"/>
        <v>4326.7099999999991</v>
      </c>
      <c r="N30" s="137">
        <f t="shared" si="5"/>
        <v>9.4513585026751501E-2</v>
      </c>
      <c r="O30" s="135"/>
      <c r="P30" s="135">
        <f t="shared" si="11"/>
        <v>22478.5</v>
      </c>
      <c r="Q30" s="135">
        <f t="shared" si="12"/>
        <v>28316.48</v>
      </c>
      <c r="R30" s="135">
        <f t="shared" si="24"/>
        <v>50794.979999999996</v>
      </c>
      <c r="S30" s="136"/>
      <c r="T30" s="135">
        <f t="shared" si="13"/>
        <v>689.55999999999767</v>
      </c>
      <c r="U30" s="137">
        <f t="shared" si="14"/>
        <v>1.3762183811651467E-2</v>
      </c>
      <c r="V30" s="135"/>
      <c r="W30" s="135">
        <f t="shared" si="15"/>
        <v>22431.75</v>
      </c>
      <c r="X30" s="135">
        <f>ROUND($K$81*$D30,2)</f>
        <v>28316.48</v>
      </c>
      <c r="Y30" s="135">
        <f t="shared" si="25"/>
        <v>50748.229999999996</v>
      </c>
      <c r="Z30" s="136"/>
      <c r="AA30" s="135">
        <f t="shared" si="17"/>
        <v>-46.75</v>
      </c>
      <c r="AB30" s="137">
        <f t="shared" si="18"/>
        <v>-9.2036654015810232E-4</v>
      </c>
      <c r="AC30" s="37"/>
      <c r="AD30" s="37"/>
    </row>
    <row r="31" spans="1:30" ht="14" x14ac:dyDescent="0.3">
      <c r="A31" s="67">
        <f t="shared" si="0"/>
        <v>31</v>
      </c>
      <c r="B31" s="31"/>
      <c r="C31" s="105">
        <v>1100</v>
      </c>
      <c r="D31" s="106">
        <f t="shared" si="20"/>
        <v>467500</v>
      </c>
      <c r="E31" s="135">
        <f t="shared" si="8"/>
        <v>34814.449999999997</v>
      </c>
      <c r="F31" s="135">
        <f t="shared" si="19"/>
        <v>56632.95</v>
      </c>
      <c r="G31" s="135">
        <f t="shared" si="21"/>
        <v>91447.4</v>
      </c>
      <c r="H31" s="136"/>
      <c r="I31" s="135">
        <f t="shared" si="9"/>
        <v>43467.88</v>
      </c>
      <c r="J31" s="135">
        <f t="shared" si="10"/>
        <v>56632.95</v>
      </c>
      <c r="K31" s="135">
        <f t="shared" si="22"/>
        <v>100100.82999999999</v>
      </c>
      <c r="L31" s="136"/>
      <c r="M31" s="135">
        <f t="shared" si="23"/>
        <v>8653.429999999993</v>
      </c>
      <c r="N31" s="137">
        <f t="shared" si="5"/>
        <v>9.4627403294134049E-2</v>
      </c>
      <c r="O31" s="135"/>
      <c r="P31" s="135">
        <f t="shared" si="11"/>
        <v>44847</v>
      </c>
      <c r="Q31" s="135">
        <f t="shared" si="12"/>
        <v>56632.95</v>
      </c>
      <c r="R31" s="135">
        <f t="shared" si="24"/>
        <v>101479.95</v>
      </c>
      <c r="S31" s="136"/>
      <c r="T31" s="135">
        <f t="shared" si="13"/>
        <v>1379.1200000000099</v>
      </c>
      <c r="U31" s="137">
        <f t="shared" si="14"/>
        <v>1.3777308340000878E-2</v>
      </c>
      <c r="V31" s="135"/>
      <c r="W31" s="135">
        <f t="shared" si="15"/>
        <v>44753.5</v>
      </c>
      <c r="X31" s="135">
        <f t="shared" si="16"/>
        <v>56632.95</v>
      </c>
      <c r="Y31" s="135">
        <f t="shared" si="25"/>
        <v>101386.45</v>
      </c>
      <c r="Z31" s="136"/>
      <c r="AA31" s="135">
        <f t="shared" si="17"/>
        <v>-93.5</v>
      </c>
      <c r="AB31" s="137">
        <f t="shared" si="18"/>
        <v>-9.2136426949362906E-4</v>
      </c>
      <c r="AC31" s="81"/>
      <c r="AD31" s="37"/>
    </row>
    <row r="32" spans="1:30" ht="14" x14ac:dyDescent="0.3">
      <c r="A32" s="67">
        <f t="shared" si="0"/>
        <v>32</v>
      </c>
      <c r="B32" s="31" t="s">
        <v>52</v>
      </c>
      <c r="C32" s="106">
        <v>370</v>
      </c>
      <c r="D32" s="106">
        <f t="shared" si="20"/>
        <v>157250</v>
      </c>
      <c r="E32" s="135">
        <f t="shared" si="8"/>
        <v>11783.32</v>
      </c>
      <c r="F32" s="135">
        <f t="shared" si="19"/>
        <v>19049.27</v>
      </c>
      <c r="G32" s="135">
        <f t="shared" si="21"/>
        <v>30832.59</v>
      </c>
      <c r="H32" s="136"/>
      <c r="I32" s="135">
        <f t="shared" si="9"/>
        <v>14694.01</v>
      </c>
      <c r="J32" s="135">
        <f t="shared" si="10"/>
        <v>19049.27</v>
      </c>
      <c r="K32" s="135">
        <f t="shared" si="22"/>
        <v>33743.279999999999</v>
      </c>
      <c r="L32" s="136"/>
      <c r="M32" s="135">
        <f t="shared" si="23"/>
        <v>2910.6899999999987</v>
      </c>
      <c r="N32" s="137">
        <f t="shared" si="5"/>
        <v>9.4403032635273221E-2</v>
      </c>
      <c r="O32" s="135"/>
      <c r="P32" s="135">
        <f t="shared" si="11"/>
        <v>15157.9</v>
      </c>
      <c r="Q32" s="135">
        <f t="shared" si="12"/>
        <v>19049.27</v>
      </c>
      <c r="R32" s="135">
        <f t="shared" si="24"/>
        <v>34207.17</v>
      </c>
      <c r="S32" s="136"/>
      <c r="T32" s="135">
        <f t="shared" si="13"/>
        <v>463.88999999999942</v>
      </c>
      <c r="U32" s="137">
        <f t="shared" si="14"/>
        <v>1.3747626194015502E-2</v>
      </c>
      <c r="V32" s="135"/>
      <c r="W32" s="135">
        <f t="shared" si="15"/>
        <v>15126.45</v>
      </c>
      <c r="X32" s="135">
        <f t="shared" si="16"/>
        <v>19049.27</v>
      </c>
      <c r="Y32" s="135">
        <f t="shared" si="25"/>
        <v>34175.72</v>
      </c>
      <c r="Z32" s="136"/>
      <c r="AA32" s="135">
        <f t="shared" si="17"/>
        <v>-31.44999999999709</v>
      </c>
      <c r="AB32" s="137">
        <f t="shared" si="18"/>
        <v>-9.193978923131347E-4</v>
      </c>
      <c r="AC32" s="81"/>
      <c r="AD32" s="37"/>
    </row>
    <row r="33" spans="1:30" ht="14" x14ac:dyDescent="0.3">
      <c r="A33" s="67">
        <f t="shared" si="0"/>
        <v>33</v>
      </c>
      <c r="B33" s="31"/>
      <c r="C33" s="130"/>
      <c r="D33" s="158"/>
      <c r="E33" s="135"/>
      <c r="F33" s="135"/>
      <c r="G33" s="153"/>
      <c r="H33" s="159"/>
      <c r="I33" s="135"/>
      <c r="J33" s="135"/>
      <c r="K33" s="159"/>
      <c r="L33" s="159"/>
      <c r="M33" s="159"/>
      <c r="O33" s="159"/>
      <c r="P33" s="135"/>
      <c r="Q33" s="135"/>
      <c r="R33" s="159"/>
      <c r="S33" s="159"/>
      <c r="T33" s="135"/>
      <c r="U33" s="137"/>
      <c r="V33" s="159"/>
      <c r="W33" s="135"/>
      <c r="X33" s="135"/>
      <c r="Y33" s="159"/>
      <c r="Z33" s="159"/>
      <c r="AA33" s="135"/>
      <c r="AB33" s="137"/>
      <c r="AC33" s="188"/>
      <c r="AD33" s="37"/>
    </row>
    <row r="34" spans="1:30" ht="14" x14ac:dyDescent="0.3">
      <c r="A34" s="67">
        <f t="shared" si="0"/>
        <v>34</v>
      </c>
      <c r="B34" s="31"/>
      <c r="C34" s="164" t="s">
        <v>126</v>
      </c>
      <c r="D34" s="104">
        <v>555</v>
      </c>
      <c r="E34" s="135"/>
      <c r="F34" s="135"/>
      <c r="G34" s="136"/>
      <c r="H34" s="136"/>
      <c r="I34" s="135"/>
      <c r="J34" s="135"/>
      <c r="K34" s="136"/>
      <c r="L34" s="136"/>
      <c r="M34" s="136"/>
      <c r="O34" s="136"/>
      <c r="P34" s="135"/>
      <c r="Q34" s="135"/>
      <c r="R34" s="136"/>
      <c r="S34" s="136"/>
      <c r="T34" s="135"/>
      <c r="U34" s="137"/>
      <c r="V34" s="136"/>
      <c r="W34" s="135"/>
      <c r="X34" s="135"/>
      <c r="Y34" s="136"/>
      <c r="Z34" s="136"/>
      <c r="AA34" s="135"/>
      <c r="AB34" s="137"/>
      <c r="AC34" s="188"/>
      <c r="AD34" s="37"/>
    </row>
    <row r="35" spans="1:30" ht="14" x14ac:dyDescent="0.3">
      <c r="A35" s="67">
        <f t="shared" si="0"/>
        <v>35</v>
      </c>
      <c r="B35" s="31"/>
      <c r="C35" s="105">
        <v>85</v>
      </c>
      <c r="D35" s="106">
        <f t="shared" ref="D35:D42" si="26">C35*$D$34</f>
        <v>47175</v>
      </c>
      <c r="E35" s="135">
        <f t="shared" si="8"/>
        <v>3146.85</v>
      </c>
      <c r="F35" s="135">
        <f t="shared" si="19"/>
        <v>5714.78</v>
      </c>
      <c r="G35" s="135">
        <f t="shared" ref="G35:G42" si="27">SUM(E35:F35)</f>
        <v>8861.6299999999992</v>
      </c>
      <c r="H35" s="136"/>
      <c r="I35" s="135">
        <f t="shared" si="9"/>
        <v>4020.06</v>
      </c>
      <c r="J35" s="135">
        <f t="shared" si="10"/>
        <v>5714.78</v>
      </c>
      <c r="K35" s="135">
        <f t="shared" ref="K35:K42" si="28">SUM(I35:J35)</f>
        <v>9734.84</v>
      </c>
      <c r="L35" s="136"/>
      <c r="M35" s="135">
        <f t="shared" ref="M35:M42" si="29">+K35-G35</f>
        <v>873.21000000000095</v>
      </c>
      <c r="N35" s="137">
        <f t="shared" ref="N35:N42" si="30">+M35/G35</f>
        <v>9.8538305029661696E-2</v>
      </c>
      <c r="O35" s="135"/>
      <c r="P35" s="135">
        <f t="shared" si="11"/>
        <v>4159.2299999999996</v>
      </c>
      <c r="Q35" s="135">
        <f t="shared" si="12"/>
        <v>5714.78</v>
      </c>
      <c r="R35" s="135">
        <f t="shared" ref="R35:R42" si="31">SUM(P35:Q35)</f>
        <v>9874.0099999999984</v>
      </c>
      <c r="S35" s="136"/>
      <c r="T35" s="135">
        <f t="shared" si="13"/>
        <v>139.16999999999825</v>
      </c>
      <c r="U35" s="137">
        <f t="shared" si="14"/>
        <v>1.4296074717201131E-2</v>
      </c>
      <c r="V35" s="135"/>
      <c r="W35" s="135">
        <f t="shared" si="15"/>
        <v>4149.8</v>
      </c>
      <c r="X35" s="135">
        <f t="shared" si="16"/>
        <v>5714.78</v>
      </c>
      <c r="Y35" s="135">
        <f t="shared" ref="Y35:Y42" si="32">SUM(W35:X35)</f>
        <v>9864.58</v>
      </c>
      <c r="Z35" s="136"/>
      <c r="AA35" s="135">
        <f t="shared" si="17"/>
        <v>-9.429999999998472</v>
      </c>
      <c r="AB35" s="137">
        <f t="shared" si="18"/>
        <v>-9.5503245388636163E-4</v>
      </c>
      <c r="AC35" s="81"/>
      <c r="AD35" s="37"/>
    </row>
    <row r="36" spans="1:30" ht="14" x14ac:dyDescent="0.3">
      <c r="A36" s="67">
        <f t="shared" si="0"/>
        <v>36</v>
      </c>
      <c r="B36" s="31"/>
      <c r="C36" s="105">
        <v>120</v>
      </c>
      <c r="D36" s="106">
        <f t="shared" si="26"/>
        <v>66600</v>
      </c>
      <c r="E36" s="135">
        <f t="shared" si="8"/>
        <v>4397.32</v>
      </c>
      <c r="F36" s="135">
        <f t="shared" si="19"/>
        <v>8067.92</v>
      </c>
      <c r="G36" s="135">
        <f t="shared" si="27"/>
        <v>12465.24</v>
      </c>
      <c r="H36" s="136"/>
      <c r="I36" s="135">
        <f t="shared" si="9"/>
        <v>5630.09</v>
      </c>
      <c r="J36" s="135">
        <f t="shared" si="10"/>
        <v>8067.92</v>
      </c>
      <c r="K36" s="135">
        <f t="shared" si="28"/>
        <v>13698.01</v>
      </c>
      <c r="L36" s="136"/>
      <c r="M36" s="135">
        <f t="shared" si="29"/>
        <v>1232.7700000000004</v>
      </c>
      <c r="N36" s="137">
        <f t="shared" si="30"/>
        <v>9.8896611697809306E-2</v>
      </c>
      <c r="O36" s="135"/>
      <c r="P36" s="135">
        <f t="shared" si="11"/>
        <v>5826.56</v>
      </c>
      <c r="Q36" s="135">
        <f t="shared" si="12"/>
        <v>8067.92</v>
      </c>
      <c r="R36" s="135">
        <f t="shared" si="31"/>
        <v>13894.48</v>
      </c>
      <c r="S36" s="136"/>
      <c r="T36" s="135">
        <f t="shared" si="13"/>
        <v>196.46999999999935</v>
      </c>
      <c r="U36" s="137">
        <f t="shared" si="14"/>
        <v>1.4342959305767724E-2</v>
      </c>
      <c r="V36" s="135"/>
      <c r="W36" s="135">
        <f t="shared" si="15"/>
        <v>5813.24</v>
      </c>
      <c r="X36" s="135">
        <f t="shared" si="16"/>
        <v>8067.92</v>
      </c>
      <c r="Y36" s="135">
        <f t="shared" si="32"/>
        <v>13881.16</v>
      </c>
      <c r="Z36" s="136"/>
      <c r="AA36" s="135">
        <f t="shared" si="17"/>
        <v>-13.319999999999709</v>
      </c>
      <c r="AB36" s="137">
        <f t="shared" si="18"/>
        <v>-9.5865408421183876E-4</v>
      </c>
      <c r="AC36" s="81"/>
      <c r="AD36" s="37"/>
    </row>
    <row r="37" spans="1:30" ht="14" x14ac:dyDescent="0.3">
      <c r="A37" s="67">
        <f t="shared" si="0"/>
        <v>37</v>
      </c>
      <c r="B37" s="31"/>
      <c r="C37" s="105">
        <v>160</v>
      </c>
      <c r="D37" s="106">
        <f t="shared" si="26"/>
        <v>88800</v>
      </c>
      <c r="E37" s="135">
        <f t="shared" si="8"/>
        <v>5826.43</v>
      </c>
      <c r="F37" s="135">
        <f t="shared" si="19"/>
        <v>10757.23</v>
      </c>
      <c r="G37" s="135">
        <f t="shared" si="27"/>
        <v>16583.66</v>
      </c>
      <c r="H37" s="136"/>
      <c r="I37" s="135">
        <f t="shared" si="9"/>
        <v>7470.12</v>
      </c>
      <c r="J37" s="135">
        <f t="shared" si="10"/>
        <v>10757.23</v>
      </c>
      <c r="K37" s="135">
        <f t="shared" si="28"/>
        <v>18227.349999999999</v>
      </c>
      <c r="L37" s="136"/>
      <c r="M37" s="135">
        <f t="shared" si="29"/>
        <v>1643.6899999999987</v>
      </c>
      <c r="N37" s="137">
        <f t="shared" si="30"/>
        <v>9.9115032507902281E-2</v>
      </c>
      <c r="O37" s="135"/>
      <c r="P37" s="135">
        <f t="shared" si="11"/>
        <v>7732.08</v>
      </c>
      <c r="Q37" s="135">
        <f t="shared" si="12"/>
        <v>10757.23</v>
      </c>
      <c r="R37" s="135">
        <f t="shared" si="31"/>
        <v>18489.309999999998</v>
      </c>
      <c r="S37" s="136"/>
      <c r="T37" s="135">
        <f t="shared" si="13"/>
        <v>261.95999999999913</v>
      </c>
      <c r="U37" s="137">
        <f t="shared" si="14"/>
        <v>1.4371809396319222E-2</v>
      </c>
      <c r="V37" s="135"/>
      <c r="W37" s="135">
        <f t="shared" si="15"/>
        <v>7714.32</v>
      </c>
      <c r="X37" s="135">
        <f t="shared" si="16"/>
        <v>10757.23</v>
      </c>
      <c r="Y37" s="135">
        <f t="shared" si="32"/>
        <v>18471.55</v>
      </c>
      <c r="Z37" s="136"/>
      <c r="AA37" s="135">
        <f t="shared" si="17"/>
        <v>-17.759999999998399</v>
      </c>
      <c r="AB37" s="137">
        <f t="shared" si="18"/>
        <v>-9.605550450502697E-4</v>
      </c>
      <c r="AC37" s="81"/>
      <c r="AD37" s="37"/>
    </row>
    <row r="38" spans="1:30" ht="14" x14ac:dyDescent="0.3">
      <c r="A38" s="67">
        <f t="shared" si="0"/>
        <v>38</v>
      </c>
      <c r="B38" s="31"/>
      <c r="C38" s="105">
        <v>210</v>
      </c>
      <c r="D38" s="106">
        <f t="shared" si="26"/>
        <v>116550</v>
      </c>
      <c r="E38" s="135">
        <f t="shared" si="8"/>
        <v>7612.82</v>
      </c>
      <c r="F38" s="135">
        <f t="shared" si="19"/>
        <v>14118.87</v>
      </c>
      <c r="G38" s="135">
        <f t="shared" si="27"/>
        <v>21731.690000000002</v>
      </c>
      <c r="H38" s="136"/>
      <c r="I38" s="135">
        <f t="shared" si="9"/>
        <v>9770.16</v>
      </c>
      <c r="J38" s="135">
        <f t="shared" si="10"/>
        <v>14118.87</v>
      </c>
      <c r="K38" s="135">
        <f t="shared" si="28"/>
        <v>23889.03</v>
      </c>
      <c r="L38" s="136"/>
      <c r="M38" s="135">
        <f t="shared" si="29"/>
        <v>2157.3399999999965</v>
      </c>
      <c r="N38" s="137">
        <f t="shared" si="30"/>
        <v>9.9271616703532781E-2</v>
      </c>
      <c r="O38" s="135"/>
      <c r="P38" s="135">
        <f t="shared" si="11"/>
        <v>10113.98</v>
      </c>
      <c r="Q38" s="135">
        <f t="shared" si="12"/>
        <v>14118.87</v>
      </c>
      <c r="R38" s="135">
        <f t="shared" si="31"/>
        <v>24232.85</v>
      </c>
      <c r="S38" s="136"/>
      <c r="T38" s="135">
        <f t="shared" si="13"/>
        <v>343.81999999999971</v>
      </c>
      <c r="U38" s="137">
        <f t="shared" si="14"/>
        <v>1.439238010082451E-2</v>
      </c>
      <c r="V38" s="135"/>
      <c r="W38" s="135">
        <f t="shared" si="15"/>
        <v>10090.67</v>
      </c>
      <c r="X38" s="135">
        <f t="shared" si="16"/>
        <v>14118.87</v>
      </c>
      <c r="Y38" s="135">
        <f t="shared" si="32"/>
        <v>24209.54</v>
      </c>
      <c r="Z38" s="136"/>
      <c r="AA38" s="135">
        <f t="shared" si="17"/>
        <v>-23.309999999997672</v>
      </c>
      <c r="AB38" s="137">
        <f t="shared" si="18"/>
        <v>-9.6191739725198127E-4</v>
      </c>
      <c r="AC38" s="81"/>
      <c r="AD38" s="37"/>
    </row>
    <row r="39" spans="1:30" ht="14" x14ac:dyDescent="0.3">
      <c r="A39" s="67">
        <f t="shared" si="0"/>
        <v>39</v>
      </c>
      <c r="B39" s="31"/>
      <c r="C39" s="105">
        <v>300</v>
      </c>
      <c r="D39" s="106">
        <f t="shared" si="26"/>
        <v>166500</v>
      </c>
      <c r="E39" s="135">
        <f>ROUND($G$78+$C39*$G$79+$D39*$G$80,2)</f>
        <v>10828.31</v>
      </c>
      <c r="F39" s="135">
        <f t="shared" si="19"/>
        <v>20169.810000000001</v>
      </c>
      <c r="G39" s="135">
        <f t="shared" si="27"/>
        <v>30998.120000000003</v>
      </c>
      <c r="H39" s="136"/>
      <c r="I39" s="135">
        <f t="shared" si="9"/>
        <v>13910.23</v>
      </c>
      <c r="J39" s="135">
        <f t="shared" si="10"/>
        <v>20169.810000000001</v>
      </c>
      <c r="K39" s="135">
        <f t="shared" si="28"/>
        <v>34080.04</v>
      </c>
      <c r="L39" s="136"/>
      <c r="M39" s="135">
        <f t="shared" si="29"/>
        <v>3081.9199999999983</v>
      </c>
      <c r="N39" s="137">
        <f t="shared" si="30"/>
        <v>9.9422803705514984E-2</v>
      </c>
      <c r="O39" s="135"/>
      <c r="P39" s="135">
        <f>ROUND($J$78+$C39*$J$79+$D39*$J$80,2)</f>
        <v>14401.4</v>
      </c>
      <c r="Q39" s="135">
        <f t="shared" si="12"/>
        <v>20169.810000000001</v>
      </c>
      <c r="R39" s="135">
        <f t="shared" si="31"/>
        <v>34571.21</v>
      </c>
      <c r="S39" s="136"/>
      <c r="T39" s="135">
        <f t="shared" si="13"/>
        <v>491.16999999999825</v>
      </c>
      <c r="U39" s="137">
        <f t="shared" si="14"/>
        <v>1.4412248342431471E-2</v>
      </c>
      <c r="V39" s="135"/>
      <c r="W39" s="135">
        <f>ROUND($K$78+$C39*$K$79+$D39*$K$80,2)</f>
        <v>14368.1</v>
      </c>
      <c r="X39" s="135">
        <f>ROUND($K$81*$D39,2)</f>
        <v>20169.810000000001</v>
      </c>
      <c r="Y39" s="135">
        <f t="shared" si="32"/>
        <v>34537.910000000003</v>
      </c>
      <c r="Z39" s="136"/>
      <c r="AA39" s="135">
        <f t="shared" si="17"/>
        <v>-33.299999999995634</v>
      </c>
      <c r="AB39" s="137">
        <f t="shared" si="18"/>
        <v>-9.6322923033343745E-4</v>
      </c>
      <c r="AC39" s="81"/>
      <c r="AD39" s="37"/>
    </row>
    <row r="40" spans="1:30" ht="14" x14ac:dyDescent="0.3">
      <c r="A40" s="67">
        <f t="shared" si="0"/>
        <v>40</v>
      </c>
      <c r="B40" s="31"/>
      <c r="C40" s="105">
        <v>415</v>
      </c>
      <c r="D40" s="106">
        <f t="shared" si="26"/>
        <v>230325</v>
      </c>
      <c r="E40" s="135">
        <f t="shared" si="8"/>
        <v>14937</v>
      </c>
      <c r="F40" s="135">
        <f>ROUND($G$81*$D40,2)</f>
        <v>27901.57</v>
      </c>
      <c r="G40" s="135">
        <f t="shared" si="27"/>
        <v>42838.57</v>
      </c>
      <c r="H40" s="136"/>
      <c r="I40" s="135">
        <f>ROUND($I$78+$C40*$I$79+$D40*$I$80,2)</f>
        <v>19200.310000000001</v>
      </c>
      <c r="J40" s="135">
        <f>ROUND($I$81*$D40,2)</f>
        <v>27901.57</v>
      </c>
      <c r="K40" s="135">
        <f t="shared" si="28"/>
        <v>47101.880000000005</v>
      </c>
      <c r="L40" s="136"/>
      <c r="M40" s="135">
        <f t="shared" si="29"/>
        <v>4263.3100000000049</v>
      </c>
      <c r="N40" s="137">
        <f t="shared" si="30"/>
        <v>9.9520362140939927E-2</v>
      </c>
      <c r="O40" s="135"/>
      <c r="P40" s="135">
        <f t="shared" si="11"/>
        <v>19879.77</v>
      </c>
      <c r="Q40" s="135">
        <f>ROUND($J$81*$D40,2)</f>
        <v>27901.57</v>
      </c>
      <c r="R40" s="135">
        <f t="shared" si="31"/>
        <v>47781.34</v>
      </c>
      <c r="S40" s="136"/>
      <c r="T40" s="135">
        <f t="shared" si="13"/>
        <v>679.45999999999185</v>
      </c>
      <c r="U40" s="137">
        <f t="shared" si="14"/>
        <v>1.4425326547475213E-2</v>
      </c>
      <c r="V40" s="135"/>
      <c r="W40" s="135">
        <f t="shared" si="15"/>
        <v>19833.71</v>
      </c>
      <c r="X40" s="135">
        <f t="shared" si="16"/>
        <v>27901.57</v>
      </c>
      <c r="Y40" s="135">
        <f t="shared" si="32"/>
        <v>47735.28</v>
      </c>
      <c r="Z40" s="136"/>
      <c r="AA40" s="135">
        <f t="shared" si="17"/>
        <v>-46.059999999997672</v>
      </c>
      <c r="AB40" s="137">
        <f t="shared" si="18"/>
        <v>-9.6397463947218043E-4</v>
      </c>
      <c r="AC40" s="81"/>
      <c r="AD40" s="37"/>
    </row>
    <row r="41" spans="1:30" ht="14" x14ac:dyDescent="0.3">
      <c r="A41" s="67">
        <f t="shared" si="0"/>
        <v>41</v>
      </c>
      <c r="B41" s="31"/>
      <c r="C41" s="105">
        <v>750</v>
      </c>
      <c r="D41" s="106">
        <f t="shared" si="26"/>
        <v>416250</v>
      </c>
      <c r="E41" s="135">
        <f t="shared" si="8"/>
        <v>26905.78</v>
      </c>
      <c r="F41" s="135">
        <f t="shared" si="19"/>
        <v>50424.53</v>
      </c>
      <c r="G41" s="135">
        <f t="shared" si="27"/>
        <v>77330.31</v>
      </c>
      <c r="H41" s="136"/>
      <c r="I41" s="135">
        <f t="shared" si="9"/>
        <v>34610.559999999998</v>
      </c>
      <c r="J41" s="135">
        <f t="shared" si="10"/>
        <v>50424.53</v>
      </c>
      <c r="K41" s="135">
        <f t="shared" si="28"/>
        <v>85035.09</v>
      </c>
      <c r="L41" s="136"/>
      <c r="M41" s="135">
        <f t="shared" si="29"/>
        <v>7704.7799999999988</v>
      </c>
      <c r="N41" s="137">
        <f t="shared" si="30"/>
        <v>9.963467106235574E-2</v>
      </c>
      <c r="O41" s="135"/>
      <c r="P41" s="135">
        <f t="shared" si="11"/>
        <v>35838.5</v>
      </c>
      <c r="Q41" s="135">
        <f t="shared" si="12"/>
        <v>50424.53</v>
      </c>
      <c r="R41" s="135">
        <f t="shared" si="31"/>
        <v>86263.03</v>
      </c>
      <c r="S41" s="136"/>
      <c r="T41" s="135">
        <f t="shared" si="13"/>
        <v>1227.9400000000023</v>
      </c>
      <c r="U41" s="137">
        <f t="shared" si="14"/>
        <v>1.44403916077469E-2</v>
      </c>
      <c r="V41" s="135"/>
      <c r="W41" s="135">
        <f t="shared" si="15"/>
        <v>35755.25</v>
      </c>
      <c r="X41" s="135">
        <f t="shared" si="16"/>
        <v>50424.53</v>
      </c>
      <c r="Y41" s="135">
        <f t="shared" si="32"/>
        <v>86179.78</v>
      </c>
      <c r="Z41" s="136"/>
      <c r="AA41" s="135">
        <f t="shared" si="17"/>
        <v>-83.25</v>
      </c>
      <c r="AB41" s="137">
        <f t="shared" si="18"/>
        <v>-9.6507159556069382E-4</v>
      </c>
      <c r="AC41" s="81"/>
      <c r="AD41" s="37"/>
    </row>
    <row r="42" spans="1:30" ht="14" x14ac:dyDescent="0.3">
      <c r="A42" s="67">
        <f t="shared" si="0"/>
        <v>42</v>
      </c>
      <c r="B42" s="31" t="s">
        <v>52</v>
      </c>
      <c r="C42" s="106">
        <v>290</v>
      </c>
      <c r="D42" s="106">
        <f t="shared" si="26"/>
        <v>160950</v>
      </c>
      <c r="E42" s="135">
        <f t="shared" si="8"/>
        <v>10471.030000000001</v>
      </c>
      <c r="F42" s="135">
        <f t="shared" si="19"/>
        <v>19497.48</v>
      </c>
      <c r="G42" s="135">
        <f t="shared" si="27"/>
        <v>29968.510000000002</v>
      </c>
      <c r="H42" s="136"/>
      <c r="I42" s="135">
        <f t="shared" si="9"/>
        <v>13450.22</v>
      </c>
      <c r="J42" s="135">
        <f t="shared" si="10"/>
        <v>19497.48</v>
      </c>
      <c r="K42" s="135">
        <f t="shared" si="28"/>
        <v>32947.699999999997</v>
      </c>
      <c r="L42" s="136"/>
      <c r="M42" s="135">
        <f t="shared" si="29"/>
        <v>2979.1899999999951</v>
      </c>
      <c r="N42" s="137">
        <f t="shared" si="30"/>
        <v>9.9410681411921872E-2</v>
      </c>
      <c r="O42" s="135"/>
      <c r="P42" s="135">
        <f t="shared" si="11"/>
        <v>13925.02</v>
      </c>
      <c r="Q42" s="135">
        <f t="shared" si="12"/>
        <v>19497.48</v>
      </c>
      <c r="R42" s="135">
        <f t="shared" si="31"/>
        <v>33422.5</v>
      </c>
      <c r="S42" s="136"/>
      <c r="T42" s="135">
        <f t="shared" si="13"/>
        <v>474.80000000000291</v>
      </c>
      <c r="U42" s="137">
        <f t="shared" si="14"/>
        <v>1.4410717591819852E-2</v>
      </c>
      <c r="V42" s="135"/>
      <c r="W42" s="135">
        <f t="shared" si="15"/>
        <v>13892.83</v>
      </c>
      <c r="X42" s="135">
        <f t="shared" si="16"/>
        <v>19497.48</v>
      </c>
      <c r="Y42" s="135">
        <f t="shared" si="32"/>
        <v>33390.31</v>
      </c>
      <c r="Z42" s="136"/>
      <c r="AA42" s="135">
        <f t="shared" si="17"/>
        <v>-32.190000000002328</v>
      </c>
      <c r="AB42" s="137">
        <f t="shared" si="18"/>
        <v>-9.6312364425169656E-4</v>
      </c>
      <c r="AC42" s="81"/>
      <c r="AD42" s="37"/>
    </row>
    <row r="43" spans="1:30" ht="14" x14ac:dyDescent="0.3">
      <c r="A43" s="67">
        <f t="shared" si="0"/>
        <v>43</v>
      </c>
      <c r="B43" s="31"/>
      <c r="C43" s="130"/>
      <c r="D43" s="152"/>
      <c r="E43" s="153"/>
      <c r="F43" s="153"/>
      <c r="G43" s="153"/>
      <c r="H43" s="159"/>
      <c r="I43" s="153"/>
      <c r="J43" s="153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Y43" s="37"/>
      <c r="Z43" s="37"/>
      <c r="AA43" s="37"/>
      <c r="AB43" s="37"/>
      <c r="AC43" s="188"/>
      <c r="AD43" s="37"/>
    </row>
    <row r="44" spans="1:30" ht="14" x14ac:dyDescent="0.3">
      <c r="A44" s="67">
        <f t="shared" si="0"/>
        <v>44</v>
      </c>
      <c r="B44" s="31"/>
      <c r="C44" s="130"/>
      <c r="D44" s="152"/>
      <c r="E44" s="153"/>
      <c r="F44" s="153"/>
      <c r="G44" s="153"/>
      <c r="H44" s="159"/>
      <c r="I44" s="153"/>
      <c r="J44" s="153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Y44" s="37"/>
      <c r="Z44" s="37"/>
      <c r="AA44" s="37"/>
      <c r="AB44" s="37"/>
      <c r="AD44" s="37"/>
    </row>
    <row r="45" spans="1:30" ht="14" x14ac:dyDescent="0.3">
      <c r="A45" s="67">
        <f t="shared" si="0"/>
        <v>45</v>
      </c>
      <c r="B45" s="31"/>
      <c r="C45" s="44" t="s">
        <v>53</v>
      </c>
      <c r="D45" s="44"/>
      <c r="E45" s="136"/>
      <c r="F45" s="136"/>
      <c r="G45" s="45">
        <f>'EMA R1'!H28</f>
        <v>2024</v>
      </c>
      <c r="I45" s="45">
        <f>'EMA R1'!I28</f>
        <v>2025</v>
      </c>
      <c r="J45" s="45">
        <f>'EMA R1'!J28</f>
        <v>2026</v>
      </c>
      <c r="K45" s="45">
        <f>'EMA R1'!L28</f>
        <v>2027</v>
      </c>
      <c r="M45" s="45" t="str">
        <f>'EMA R1'!M28</f>
        <v>2025 v 2024</v>
      </c>
      <c r="N45" s="45" t="str">
        <f>'EMA R1'!O28</f>
        <v>2026 v 2025</v>
      </c>
      <c r="P45" s="45" t="str">
        <f>'EMA R1'!P28</f>
        <v>2027 v 2026</v>
      </c>
      <c r="Q45" s="136"/>
      <c r="R45" s="136"/>
      <c r="S45" s="136"/>
      <c r="T45" s="136"/>
      <c r="U45" s="136"/>
      <c r="V45" s="136"/>
      <c r="Y45" s="37"/>
      <c r="Z45" s="37"/>
      <c r="AA45" s="37"/>
      <c r="AB45" s="37"/>
      <c r="AD45" s="37"/>
    </row>
    <row r="46" spans="1:30" ht="15.5" x14ac:dyDescent="0.45">
      <c r="A46" s="67">
        <f t="shared" si="0"/>
        <v>46</v>
      </c>
      <c r="B46" s="31"/>
      <c r="C46" s="23" t="s">
        <v>53</v>
      </c>
      <c r="D46" s="23"/>
      <c r="E46" s="136"/>
      <c r="F46" s="136"/>
      <c r="G46" s="47" t="str">
        <f>+'BOS G2 NEMA'!G55</f>
        <v>Rates</v>
      </c>
      <c r="H46" s="116"/>
      <c r="I46" s="47" t="s">
        <v>57</v>
      </c>
      <c r="J46" s="47" t="s">
        <v>57</v>
      </c>
      <c r="K46" s="47" t="s">
        <v>57</v>
      </c>
      <c r="L46" s="37"/>
      <c r="M46" s="48" t="s">
        <v>51</v>
      </c>
      <c r="N46" s="48" t="s">
        <v>51</v>
      </c>
      <c r="O46" s="22"/>
      <c r="P46" s="48" t="s">
        <v>51</v>
      </c>
      <c r="Q46" s="136"/>
      <c r="R46" s="136"/>
      <c r="S46" s="136"/>
      <c r="T46" s="136"/>
      <c r="U46" s="136"/>
      <c r="V46" s="136"/>
    </row>
    <row r="47" spans="1:30" ht="14" x14ac:dyDescent="0.3">
      <c r="A47" s="67">
        <f t="shared" si="0"/>
        <v>47</v>
      </c>
      <c r="B47" s="31"/>
      <c r="C47" s="44" t="s">
        <v>58</v>
      </c>
      <c r="D47" s="44"/>
      <c r="E47" s="86"/>
      <c r="F47" s="136"/>
      <c r="G47" s="88">
        <v>110</v>
      </c>
      <c r="H47" s="88"/>
      <c r="I47" s="88">
        <f>G47</f>
        <v>110</v>
      </c>
      <c r="J47" s="88">
        <f>G47</f>
        <v>110</v>
      </c>
      <c r="K47" s="88">
        <f>G47</f>
        <v>110</v>
      </c>
      <c r="L47" s="88"/>
      <c r="M47" s="50">
        <f t="shared" ref="M47:M75" si="33">+I47-G47</f>
        <v>0</v>
      </c>
      <c r="N47" s="50">
        <f>+J47-I47</f>
        <v>0</v>
      </c>
      <c r="O47" s="50"/>
      <c r="P47" s="50">
        <f>+K47-J47</f>
        <v>0</v>
      </c>
      <c r="Q47" s="89" t="s">
        <v>59</v>
      </c>
      <c r="R47" s="136"/>
      <c r="S47" s="136"/>
      <c r="T47" s="136"/>
      <c r="U47" s="136"/>
      <c r="V47" s="136"/>
    </row>
    <row r="48" spans="1:30" ht="14" x14ac:dyDescent="0.3">
      <c r="A48" s="67">
        <f t="shared" si="0"/>
        <v>48</v>
      </c>
      <c r="B48" s="31"/>
      <c r="C48" s="44" t="s">
        <v>146</v>
      </c>
      <c r="D48" s="44"/>
      <c r="E48" s="86"/>
      <c r="F48" s="136"/>
      <c r="G48" s="88">
        <v>5.08</v>
      </c>
      <c r="H48" s="88"/>
      <c r="I48" s="88">
        <f t="shared" ref="I48:I75" si="34">G48</f>
        <v>5.08</v>
      </c>
      <c r="J48" s="88">
        <f t="shared" ref="J48:J75" si="35">G48</f>
        <v>5.08</v>
      </c>
      <c r="K48" s="88">
        <f t="shared" ref="K48:K75" si="36">G48</f>
        <v>5.08</v>
      </c>
      <c r="L48" s="88"/>
      <c r="M48" s="50">
        <f t="shared" si="33"/>
        <v>0</v>
      </c>
      <c r="N48" s="50">
        <f t="shared" ref="N48:N75" si="37">+J48-I48</f>
        <v>0</v>
      </c>
      <c r="O48" s="50"/>
      <c r="P48" s="50">
        <f t="shared" ref="P48:P75" si="38">+K48-J48</f>
        <v>0</v>
      </c>
      <c r="Q48" s="89" t="s">
        <v>59</v>
      </c>
      <c r="R48" s="136"/>
      <c r="S48" s="136"/>
      <c r="T48" s="136"/>
      <c r="U48" s="136"/>
      <c r="V48" s="136"/>
    </row>
    <row r="49" spans="1:22" ht="14" x14ac:dyDescent="0.3">
      <c r="A49" s="67">
        <f t="shared" si="0"/>
        <v>49</v>
      </c>
      <c r="B49" s="31"/>
      <c r="C49" s="44" t="s">
        <v>60</v>
      </c>
      <c r="D49" s="44"/>
      <c r="E49" s="86"/>
      <c r="F49" s="136"/>
      <c r="G49" s="91">
        <v>1.4160000000000001E-2</v>
      </c>
      <c r="H49" s="92"/>
      <c r="I49" s="91">
        <f t="shared" si="34"/>
        <v>1.4160000000000001E-2</v>
      </c>
      <c r="J49" s="91">
        <f t="shared" si="35"/>
        <v>1.4160000000000001E-2</v>
      </c>
      <c r="K49" s="91">
        <f t="shared" si="36"/>
        <v>1.4160000000000001E-2</v>
      </c>
      <c r="L49" s="91"/>
      <c r="M49" s="54">
        <f t="shared" si="33"/>
        <v>0</v>
      </c>
      <c r="N49" s="54">
        <f t="shared" si="37"/>
        <v>0</v>
      </c>
      <c r="O49" s="54"/>
      <c r="P49" s="54">
        <f t="shared" si="38"/>
        <v>0</v>
      </c>
      <c r="Q49" s="89" t="s">
        <v>59</v>
      </c>
      <c r="R49" s="136"/>
      <c r="S49" s="136"/>
      <c r="T49" s="136"/>
      <c r="U49" s="136"/>
      <c r="V49" s="136"/>
    </row>
    <row r="50" spans="1:22" ht="14" x14ac:dyDescent="0.3">
      <c r="A50" s="67">
        <f t="shared" si="0"/>
        <v>50</v>
      </c>
      <c r="B50" s="31"/>
      <c r="C50" s="44" t="str">
        <f>+'BOS G2 NEMA'!C62</f>
        <v>Exogenous Cost Adjustment</v>
      </c>
      <c r="D50" s="44"/>
      <c r="E50" s="86"/>
      <c r="F50" s="136"/>
      <c r="G50" s="91">
        <v>5.5999999999999995E-4</v>
      </c>
      <c r="H50" s="176"/>
      <c r="I50" s="91">
        <f t="shared" si="34"/>
        <v>5.5999999999999995E-4</v>
      </c>
      <c r="J50" s="91">
        <f t="shared" si="35"/>
        <v>5.5999999999999995E-4</v>
      </c>
      <c r="K50" s="91">
        <f t="shared" si="36"/>
        <v>5.5999999999999995E-4</v>
      </c>
      <c r="L50" s="91"/>
      <c r="M50" s="54">
        <f t="shared" si="33"/>
        <v>0</v>
      </c>
      <c r="N50" s="54">
        <f t="shared" si="37"/>
        <v>0</v>
      </c>
      <c r="O50" s="54"/>
      <c r="P50" s="54">
        <f t="shared" si="38"/>
        <v>0</v>
      </c>
      <c r="Q50" s="89" t="str">
        <f>+'BOS G2 NEMA'!Q62</f>
        <v>ECA</v>
      </c>
      <c r="R50" s="136"/>
      <c r="S50" s="136"/>
      <c r="T50" s="136"/>
      <c r="U50" s="136"/>
      <c r="V50" s="136"/>
    </row>
    <row r="51" spans="1:22" ht="14" x14ac:dyDescent="0.3">
      <c r="A51" s="67">
        <f t="shared" si="0"/>
        <v>51</v>
      </c>
      <c r="B51" s="31"/>
      <c r="C51" s="44" t="str">
        <f>+'BOS G2 NEMA'!C63</f>
        <v>Revenue Decoupling</v>
      </c>
      <c r="D51" s="44"/>
      <c r="E51" s="86"/>
      <c r="F51" s="136"/>
      <c r="G51" s="91">
        <v>3.0000000000000001E-5</v>
      </c>
      <c r="H51" s="92"/>
      <c r="I51" s="91">
        <f t="shared" si="34"/>
        <v>3.0000000000000001E-5</v>
      </c>
      <c r="J51" s="91">
        <f t="shared" si="35"/>
        <v>3.0000000000000001E-5</v>
      </c>
      <c r="K51" s="91">
        <f t="shared" si="36"/>
        <v>3.0000000000000001E-5</v>
      </c>
      <c r="L51" s="91"/>
      <c r="M51" s="54">
        <f t="shared" si="33"/>
        <v>0</v>
      </c>
      <c r="N51" s="54">
        <f t="shared" si="37"/>
        <v>0</v>
      </c>
      <c r="O51" s="54"/>
      <c r="P51" s="54">
        <f t="shared" si="38"/>
        <v>0</v>
      </c>
      <c r="Q51" s="89" t="str">
        <f>+'BOS G2 NEMA'!Q63</f>
        <v>RDAF</v>
      </c>
      <c r="R51" s="136"/>
      <c r="S51" s="136"/>
      <c r="T51" s="136"/>
      <c r="U51" s="136"/>
      <c r="V51" s="136"/>
    </row>
    <row r="52" spans="1:22" ht="14" x14ac:dyDescent="0.3">
      <c r="A52" s="67">
        <f t="shared" si="0"/>
        <v>52</v>
      </c>
      <c r="B52" s="31"/>
      <c r="C52" s="44" t="str">
        <f>+'BOS G2 NEMA'!C64</f>
        <v>Distributed Solar Charge</v>
      </c>
      <c r="D52" s="44"/>
      <c r="E52" s="86"/>
      <c r="F52" s="136"/>
      <c r="G52" s="91">
        <v>4.4099999999999999E-3</v>
      </c>
      <c r="H52" s="92"/>
      <c r="I52" s="91">
        <f t="shared" si="34"/>
        <v>4.4099999999999999E-3</v>
      </c>
      <c r="J52" s="91">
        <f t="shared" si="35"/>
        <v>4.4099999999999999E-3</v>
      </c>
      <c r="K52" s="91">
        <f t="shared" si="36"/>
        <v>4.4099999999999999E-3</v>
      </c>
      <c r="L52" s="91"/>
      <c r="M52" s="54">
        <f t="shared" si="33"/>
        <v>0</v>
      </c>
      <c r="N52" s="54">
        <f t="shared" si="37"/>
        <v>0</v>
      </c>
      <c r="O52" s="54"/>
      <c r="P52" s="54">
        <f t="shared" si="38"/>
        <v>0</v>
      </c>
      <c r="Q52" s="89" t="str">
        <f>+'BOS G2 NEMA'!Q64</f>
        <v>SMART</v>
      </c>
      <c r="R52" s="136"/>
      <c r="S52" s="136"/>
      <c r="T52" s="136"/>
      <c r="U52" s="136"/>
      <c r="V52" s="136"/>
    </row>
    <row r="53" spans="1:22" ht="14" x14ac:dyDescent="0.3">
      <c r="A53" s="67">
        <f t="shared" si="0"/>
        <v>53</v>
      </c>
      <c r="B53" s="31"/>
      <c r="C53" s="44" t="str">
        <f>+'BOS G2 NEMA'!C65</f>
        <v>Residential Assistance Adjustment Factor</v>
      </c>
      <c r="D53" s="44"/>
      <c r="E53" s="86"/>
      <c r="F53" s="136"/>
      <c r="G53" s="53">
        <v>4.4999999999999997E-3</v>
      </c>
      <c r="H53" s="92"/>
      <c r="I53" s="53">
        <f t="shared" si="34"/>
        <v>4.4999999999999997E-3</v>
      </c>
      <c r="J53" s="53">
        <f t="shared" si="35"/>
        <v>4.4999999999999997E-3</v>
      </c>
      <c r="K53" s="53">
        <f t="shared" si="36"/>
        <v>4.4999999999999997E-3</v>
      </c>
      <c r="L53" s="53"/>
      <c r="M53" s="54">
        <f t="shared" si="33"/>
        <v>0</v>
      </c>
      <c r="N53" s="54">
        <f t="shared" si="37"/>
        <v>0</v>
      </c>
      <c r="O53" s="54"/>
      <c r="P53" s="54">
        <f t="shared" si="38"/>
        <v>0</v>
      </c>
      <c r="Q53" s="89" t="str">
        <f>+'BOS G2 NEMA'!Q65</f>
        <v>RAAF</v>
      </c>
      <c r="R53" s="136"/>
      <c r="S53" s="136"/>
      <c r="T53" s="136"/>
      <c r="U53" s="136"/>
      <c r="V53" s="136"/>
    </row>
    <row r="54" spans="1:22" ht="14" x14ac:dyDescent="0.3">
      <c r="A54" s="67">
        <f t="shared" si="0"/>
        <v>54</v>
      </c>
      <c r="B54" s="31"/>
      <c r="C54" s="44" t="str">
        <f>+'BOS G2 NEMA'!C66</f>
        <v>Pension Adjustment Factor</v>
      </c>
      <c r="D54" s="44"/>
      <c r="E54" s="86"/>
      <c r="F54" s="136"/>
      <c r="G54" s="53">
        <v>3.6999999999999999E-4</v>
      </c>
      <c r="H54" s="92"/>
      <c r="I54" s="53">
        <f t="shared" si="34"/>
        <v>3.6999999999999999E-4</v>
      </c>
      <c r="J54" s="53">
        <f t="shared" si="35"/>
        <v>3.6999999999999999E-4</v>
      </c>
      <c r="K54" s="53">
        <f t="shared" si="36"/>
        <v>3.6999999999999999E-4</v>
      </c>
      <c r="L54" s="53"/>
      <c r="M54" s="54">
        <f t="shared" si="33"/>
        <v>0</v>
      </c>
      <c r="N54" s="54">
        <f t="shared" si="37"/>
        <v>0</v>
      </c>
      <c r="O54" s="54"/>
      <c r="P54" s="54">
        <f t="shared" si="38"/>
        <v>0</v>
      </c>
      <c r="Q54" s="89" t="str">
        <f>+'BOS G2 NEMA'!Q66</f>
        <v>PAF</v>
      </c>
      <c r="R54" s="136"/>
      <c r="S54" s="136"/>
      <c r="T54" s="136"/>
      <c r="U54" s="136"/>
      <c r="V54" s="136"/>
    </row>
    <row r="55" spans="1:22" ht="14" x14ac:dyDescent="0.3">
      <c r="A55" s="67">
        <f t="shared" si="0"/>
        <v>55</v>
      </c>
      <c r="B55" s="31"/>
      <c r="C55" s="44" t="str">
        <f>+'BOS G2 NEMA'!C67</f>
        <v>Net Metering Recovery Surcharge</v>
      </c>
      <c r="D55" s="44"/>
      <c r="E55" s="86"/>
      <c r="F55" s="136"/>
      <c r="G55" s="91">
        <v>8.94E-3</v>
      </c>
      <c r="H55" s="92"/>
      <c r="I55" s="91">
        <f t="shared" si="34"/>
        <v>8.94E-3</v>
      </c>
      <c r="J55" s="91">
        <f t="shared" si="35"/>
        <v>8.94E-3</v>
      </c>
      <c r="K55" s="91">
        <f t="shared" si="36"/>
        <v>8.94E-3</v>
      </c>
      <c r="L55" s="91"/>
      <c r="M55" s="54">
        <f t="shared" si="33"/>
        <v>0</v>
      </c>
      <c r="N55" s="54">
        <f t="shared" si="37"/>
        <v>0</v>
      </c>
      <c r="O55" s="54"/>
      <c r="P55" s="54">
        <f t="shared" si="38"/>
        <v>0</v>
      </c>
      <c r="Q55" s="89" t="str">
        <f>+'BOS G2 NEMA'!Q67</f>
        <v>NMRS</v>
      </c>
      <c r="R55" s="136"/>
      <c r="S55" s="136"/>
      <c r="T55" s="136"/>
      <c r="U55" s="136"/>
      <c r="V55" s="136"/>
    </row>
    <row r="56" spans="1:22" ht="14" x14ac:dyDescent="0.3">
      <c r="A56" s="67">
        <f t="shared" si="0"/>
        <v>56</v>
      </c>
      <c r="B56" s="31"/>
      <c r="C56" s="44" t="str">
        <f>+'BOS G2 NEMA'!C68</f>
        <v>Long Term Renewable Contract Adjustment</v>
      </c>
      <c r="D56" s="44"/>
      <c r="E56" s="86"/>
      <c r="F56" s="136"/>
      <c r="G56" s="53">
        <v>-1.9300000000000001E-3</v>
      </c>
      <c r="H56" s="92"/>
      <c r="I56" s="53">
        <f t="shared" si="34"/>
        <v>-1.9300000000000001E-3</v>
      </c>
      <c r="J56" s="53">
        <f t="shared" si="35"/>
        <v>-1.9300000000000001E-3</v>
      </c>
      <c r="K56" s="53">
        <f t="shared" si="36"/>
        <v>-1.9300000000000001E-3</v>
      </c>
      <c r="L56" s="53"/>
      <c r="M56" s="54">
        <f t="shared" si="33"/>
        <v>0</v>
      </c>
      <c r="N56" s="54">
        <f t="shared" si="37"/>
        <v>0</v>
      </c>
      <c r="O56" s="54"/>
      <c r="P56" s="54">
        <f t="shared" si="38"/>
        <v>0</v>
      </c>
      <c r="Q56" s="89" t="str">
        <f>+'BOS G2 NEMA'!Q68</f>
        <v>LTRCA</v>
      </c>
      <c r="R56" s="136"/>
      <c r="S56" s="136"/>
      <c r="T56" s="136"/>
      <c r="U56" s="136"/>
      <c r="V56" s="136"/>
    </row>
    <row r="57" spans="1:22" ht="14" x14ac:dyDescent="0.3">
      <c r="A57" s="67">
        <f t="shared" si="0"/>
        <v>57</v>
      </c>
      <c r="B57" s="31"/>
      <c r="C57" s="44" t="str">
        <f>+'BOS G2 NEMA'!C69</f>
        <v>AG Consulting Expense</v>
      </c>
      <c r="D57" s="44"/>
      <c r="E57" s="86"/>
      <c r="F57" s="136"/>
      <c r="G57" s="53">
        <v>3.0000000000000001E-5</v>
      </c>
      <c r="H57" s="92"/>
      <c r="I57" s="53">
        <f t="shared" si="34"/>
        <v>3.0000000000000001E-5</v>
      </c>
      <c r="J57" s="53">
        <f t="shared" si="35"/>
        <v>3.0000000000000001E-5</v>
      </c>
      <c r="K57" s="53">
        <f t="shared" si="36"/>
        <v>3.0000000000000001E-5</v>
      </c>
      <c r="L57" s="53"/>
      <c r="M57" s="54">
        <f t="shared" si="33"/>
        <v>0</v>
      </c>
      <c r="N57" s="54">
        <f t="shared" si="37"/>
        <v>0</v>
      </c>
      <c r="O57" s="54"/>
      <c r="P57" s="54">
        <f t="shared" si="38"/>
        <v>0</v>
      </c>
      <c r="Q57" s="89" t="str">
        <f>+'BOS G2 NEMA'!Q69</f>
        <v>AGCE</v>
      </c>
      <c r="R57" s="136"/>
      <c r="S57" s="136"/>
      <c r="T57" s="136"/>
      <c r="U57" s="136"/>
      <c r="V57" s="136"/>
    </row>
    <row r="58" spans="1:22" ht="14" x14ac:dyDescent="0.3">
      <c r="A58" s="67">
        <f t="shared" si="0"/>
        <v>58</v>
      </c>
      <c r="B58" s="31"/>
      <c r="C58" s="44" t="str">
        <f>+'BOS G2 NEMA'!C70</f>
        <v>Storm Cost Recovery Adjustment Factor</v>
      </c>
      <c r="D58" s="44"/>
      <c r="E58" s="86"/>
      <c r="F58" s="136"/>
      <c r="G58" s="53">
        <v>3.65E-3</v>
      </c>
      <c r="H58" s="92"/>
      <c r="I58" s="53">
        <f t="shared" si="34"/>
        <v>3.65E-3</v>
      </c>
      <c r="J58" s="53">
        <f t="shared" si="35"/>
        <v>3.65E-3</v>
      </c>
      <c r="K58" s="53">
        <f t="shared" si="36"/>
        <v>3.65E-3</v>
      </c>
      <c r="L58" s="53"/>
      <c r="M58" s="54">
        <f t="shared" si="33"/>
        <v>0</v>
      </c>
      <c r="N58" s="54">
        <f t="shared" si="37"/>
        <v>0</v>
      </c>
      <c r="O58" s="54"/>
      <c r="P58" s="54">
        <f t="shared" si="38"/>
        <v>0</v>
      </c>
      <c r="Q58" s="89" t="str">
        <f>+'BOS G2 NEMA'!Q70</f>
        <v>SCRA</v>
      </c>
      <c r="R58" s="136"/>
      <c r="S58" s="136"/>
      <c r="T58" s="136"/>
      <c r="U58" s="136"/>
      <c r="V58" s="136"/>
    </row>
    <row r="59" spans="1:22" ht="14" x14ac:dyDescent="0.3">
      <c r="A59" s="67">
        <f t="shared" si="0"/>
        <v>59</v>
      </c>
      <c r="B59" s="31"/>
      <c r="C59" s="44" t="str">
        <f>+'BOS G2 NEMA'!C71</f>
        <v>Storm Reserve Adjustment</v>
      </c>
      <c r="D59" s="44"/>
      <c r="E59" s="86"/>
      <c r="F59" s="136"/>
      <c r="G59" s="53">
        <v>0</v>
      </c>
      <c r="H59" s="92"/>
      <c r="I59" s="53">
        <f t="shared" si="34"/>
        <v>0</v>
      </c>
      <c r="J59" s="53">
        <f t="shared" si="35"/>
        <v>0</v>
      </c>
      <c r="K59" s="53">
        <f t="shared" si="36"/>
        <v>0</v>
      </c>
      <c r="L59" s="53"/>
      <c r="M59" s="54">
        <f t="shared" si="33"/>
        <v>0</v>
      </c>
      <c r="N59" s="54">
        <f t="shared" si="37"/>
        <v>0</v>
      </c>
      <c r="O59" s="54"/>
      <c r="P59" s="54">
        <f t="shared" si="38"/>
        <v>0</v>
      </c>
      <c r="Q59" s="89" t="str">
        <f>+'BOS G2 NEMA'!Q71</f>
        <v>SRA</v>
      </c>
      <c r="R59" s="136"/>
      <c r="S59" s="136"/>
      <c r="T59" s="136"/>
      <c r="U59" s="136"/>
      <c r="V59" s="136"/>
    </row>
    <row r="60" spans="1:22" ht="14" x14ac:dyDescent="0.3">
      <c r="A60" s="67">
        <f t="shared" si="0"/>
        <v>60</v>
      </c>
      <c r="B60" s="31"/>
      <c r="C60" s="44" t="str">
        <f>+'BOS G2 NEMA'!C72</f>
        <v>Basic Service Cost True Up Factor</v>
      </c>
      <c r="D60" s="44"/>
      <c r="E60" s="86"/>
      <c r="F60" s="136"/>
      <c r="G60" s="53">
        <v>-2.5000000000000001E-4</v>
      </c>
      <c r="H60" s="92"/>
      <c r="I60" s="53">
        <f t="shared" si="34"/>
        <v>-2.5000000000000001E-4</v>
      </c>
      <c r="J60" s="53">
        <f t="shared" si="35"/>
        <v>-2.5000000000000001E-4</v>
      </c>
      <c r="K60" s="53">
        <f t="shared" si="36"/>
        <v>-2.5000000000000001E-4</v>
      </c>
      <c r="L60" s="53"/>
      <c r="M60" s="54">
        <f t="shared" si="33"/>
        <v>0</v>
      </c>
      <c r="N60" s="54">
        <f t="shared" si="37"/>
        <v>0</v>
      </c>
      <c r="O60" s="54"/>
      <c r="P60" s="54">
        <f t="shared" si="38"/>
        <v>0</v>
      </c>
      <c r="Q60" s="89" t="str">
        <f>+'BOS G2 NEMA'!Q72</f>
        <v>BSTF</v>
      </c>
      <c r="R60" s="136"/>
      <c r="S60" s="136"/>
      <c r="T60" s="136"/>
      <c r="U60" s="136"/>
      <c r="V60" s="136"/>
    </row>
    <row r="61" spans="1:22" ht="14" x14ac:dyDescent="0.3">
      <c r="A61" s="67">
        <f t="shared" si="0"/>
        <v>61</v>
      </c>
      <c r="B61" s="31"/>
      <c r="C61" s="44" t="str">
        <f>+'BOS G2 NEMA'!C73</f>
        <v>Solar Program Cost Adjustment Factor</v>
      </c>
      <c r="D61" s="44"/>
      <c r="E61" s="86"/>
      <c r="F61" s="136"/>
      <c r="G61" s="53">
        <v>1.0000000000000001E-5</v>
      </c>
      <c r="H61" s="92"/>
      <c r="I61" s="53">
        <f t="shared" si="34"/>
        <v>1.0000000000000001E-5</v>
      </c>
      <c r="J61" s="53">
        <f t="shared" si="35"/>
        <v>1.0000000000000001E-5</v>
      </c>
      <c r="K61" s="53">
        <f t="shared" si="36"/>
        <v>1.0000000000000001E-5</v>
      </c>
      <c r="L61" s="53"/>
      <c r="M61" s="54">
        <f t="shared" si="33"/>
        <v>0</v>
      </c>
      <c r="N61" s="54">
        <f t="shared" si="37"/>
        <v>0</v>
      </c>
      <c r="O61" s="54"/>
      <c r="P61" s="54">
        <f t="shared" si="38"/>
        <v>0</v>
      </c>
      <c r="Q61" s="89" t="str">
        <f>+'BOS G2 NEMA'!Q73</f>
        <v>SPCA</v>
      </c>
      <c r="R61" s="136"/>
      <c r="S61" s="136"/>
      <c r="T61" s="136"/>
      <c r="U61" s="136"/>
      <c r="V61" s="136"/>
    </row>
    <row r="62" spans="1:22" ht="14" x14ac:dyDescent="0.3">
      <c r="A62" s="67">
        <f t="shared" si="0"/>
        <v>62</v>
      </c>
      <c r="B62" s="31"/>
      <c r="C62" s="44" t="str">
        <f>+'BOS G2 NEMA'!C74</f>
        <v>Solar Expansion Cost Recovery Factor</v>
      </c>
      <c r="D62" s="37"/>
      <c r="E62" s="37"/>
      <c r="F62" s="53"/>
      <c r="G62" s="53">
        <v>-2.7999999999999998E-4</v>
      </c>
      <c r="H62" s="53"/>
      <c r="I62" s="53">
        <f t="shared" si="34"/>
        <v>-2.7999999999999998E-4</v>
      </c>
      <c r="J62" s="53">
        <f t="shared" si="35"/>
        <v>-2.7999999999999998E-4</v>
      </c>
      <c r="K62" s="53">
        <f t="shared" si="36"/>
        <v>-2.7999999999999998E-4</v>
      </c>
      <c r="L62" s="53"/>
      <c r="M62" s="54">
        <f t="shared" si="33"/>
        <v>0</v>
      </c>
      <c r="N62" s="54">
        <f t="shared" si="37"/>
        <v>0</v>
      </c>
      <c r="O62" s="54"/>
      <c r="P62" s="54">
        <f t="shared" si="38"/>
        <v>0</v>
      </c>
      <c r="Q62" s="89" t="str">
        <f>+'BOS G2 NEMA'!Q74</f>
        <v>SECRF</v>
      </c>
    </row>
    <row r="63" spans="1:22" ht="14" x14ac:dyDescent="0.3">
      <c r="A63" s="67">
        <f t="shared" si="0"/>
        <v>63</v>
      </c>
      <c r="B63" s="31"/>
      <c r="C63" s="44" t="str">
        <f>+'BOS G2 NEMA'!C75</f>
        <v>Vegetation Management</v>
      </c>
      <c r="D63" s="37"/>
      <c r="E63" s="37"/>
      <c r="F63" s="53"/>
      <c r="G63" s="53">
        <v>8.3000000000000001E-4</v>
      </c>
      <c r="H63" s="53"/>
      <c r="I63" s="53">
        <f t="shared" si="34"/>
        <v>8.3000000000000001E-4</v>
      </c>
      <c r="J63" s="53">
        <f t="shared" si="35"/>
        <v>8.3000000000000001E-4</v>
      </c>
      <c r="K63" s="53">
        <f t="shared" si="36"/>
        <v>8.3000000000000001E-4</v>
      </c>
      <c r="L63" s="53"/>
      <c r="M63" s="54">
        <f t="shared" si="33"/>
        <v>0</v>
      </c>
      <c r="N63" s="54">
        <f t="shared" si="37"/>
        <v>0</v>
      </c>
      <c r="O63" s="54"/>
      <c r="P63" s="54">
        <f t="shared" si="38"/>
        <v>0</v>
      </c>
      <c r="Q63" s="89" t="str">
        <f>+'BOS G2 NEMA'!Q75</f>
        <v>RTWF</v>
      </c>
    </row>
    <row r="64" spans="1:22" ht="14" x14ac:dyDescent="0.3">
      <c r="A64" s="67">
        <f t="shared" si="0"/>
        <v>64</v>
      </c>
      <c r="B64" s="31"/>
      <c r="C64" s="44" t="str">
        <f>+'BOS G2 NEMA'!C76</f>
        <v>Tax Act Credit Factor</v>
      </c>
      <c r="D64" s="44"/>
      <c r="E64" s="86"/>
      <c r="F64" s="136"/>
      <c r="G64" s="53">
        <v>-9.8999999999999999E-4</v>
      </c>
      <c r="H64" s="92"/>
      <c r="I64" s="53">
        <f t="shared" si="34"/>
        <v>-9.8999999999999999E-4</v>
      </c>
      <c r="J64" s="53">
        <f t="shared" si="35"/>
        <v>-9.8999999999999999E-4</v>
      </c>
      <c r="K64" s="53">
        <f t="shared" si="36"/>
        <v>-9.8999999999999999E-4</v>
      </c>
      <c r="L64" s="53"/>
      <c r="M64" s="54">
        <f t="shared" si="33"/>
        <v>0</v>
      </c>
      <c r="N64" s="54">
        <f t="shared" si="37"/>
        <v>0</v>
      </c>
      <c r="O64" s="54"/>
      <c r="P64" s="54">
        <f t="shared" si="38"/>
        <v>0</v>
      </c>
      <c r="Q64" s="89" t="str">
        <f>+'BOS G2 NEMA'!Q76</f>
        <v>TACF</v>
      </c>
      <c r="R64" s="136"/>
      <c r="S64" s="136"/>
      <c r="T64" s="136"/>
      <c r="U64" s="136"/>
      <c r="V64" s="136"/>
    </row>
    <row r="65" spans="1:24" ht="14" x14ac:dyDescent="0.3">
      <c r="A65" s="67">
        <f t="shared" si="0"/>
        <v>65</v>
      </c>
      <c r="B65" s="31"/>
      <c r="C65" s="44" t="str">
        <f>+'BOS G2 NEMA'!C77</f>
        <v>Grid Modernization</v>
      </c>
      <c r="D65" s="44"/>
      <c r="E65" s="86"/>
      <c r="F65" s="136"/>
      <c r="G65" s="53">
        <v>1.2199999999999999E-3</v>
      </c>
      <c r="H65" s="92"/>
      <c r="I65" s="53">
        <f t="shared" si="34"/>
        <v>1.2199999999999999E-3</v>
      </c>
      <c r="J65" s="53">
        <f t="shared" si="35"/>
        <v>1.2199999999999999E-3</v>
      </c>
      <c r="K65" s="53">
        <f t="shared" si="36"/>
        <v>1.2199999999999999E-3</v>
      </c>
      <c r="L65" s="53"/>
      <c r="M65" s="54">
        <f t="shared" si="33"/>
        <v>0</v>
      </c>
      <c r="N65" s="54">
        <f t="shared" si="37"/>
        <v>0</v>
      </c>
      <c r="O65" s="54"/>
      <c r="P65" s="54">
        <f t="shared" si="38"/>
        <v>0</v>
      </c>
      <c r="Q65" s="89" t="str">
        <f>+'BOS G2 NEMA'!Q77</f>
        <v>GMOD</v>
      </c>
      <c r="R65" s="136"/>
      <c r="S65" s="136"/>
      <c r="T65" s="136"/>
      <c r="U65" s="136"/>
      <c r="V65" s="136"/>
    </row>
    <row r="66" spans="1:24" ht="14" x14ac:dyDescent="0.3">
      <c r="A66" s="67">
        <f t="shared" si="0"/>
        <v>66</v>
      </c>
      <c r="B66" s="31"/>
      <c r="C66" s="44" t="str">
        <f>+'BOS G2 NEMA'!C78</f>
        <v>Advanced Metering Infrastructure</v>
      </c>
      <c r="D66" s="44"/>
      <c r="E66" s="86"/>
      <c r="F66" s="136"/>
      <c r="G66" s="53">
        <v>1.6199999999999999E-3</v>
      </c>
      <c r="H66" s="92"/>
      <c r="I66" s="53">
        <f t="shared" si="34"/>
        <v>1.6199999999999999E-3</v>
      </c>
      <c r="J66" s="53">
        <f t="shared" si="35"/>
        <v>1.6199999999999999E-3</v>
      </c>
      <c r="K66" s="53">
        <f t="shared" si="36"/>
        <v>1.6199999999999999E-3</v>
      </c>
      <c r="L66" s="53"/>
      <c r="M66" s="54">
        <f t="shared" si="33"/>
        <v>0</v>
      </c>
      <c r="N66" s="54">
        <f t="shared" si="37"/>
        <v>0</v>
      </c>
      <c r="O66" s="54"/>
      <c r="P66" s="54">
        <f t="shared" si="38"/>
        <v>0</v>
      </c>
      <c r="Q66" s="89" t="str">
        <f>+'BOS G2 NEMA'!Q78</f>
        <v>AMIF</v>
      </c>
      <c r="R66" s="136"/>
      <c r="S66" s="136"/>
      <c r="T66" s="136"/>
      <c r="U66" s="136"/>
      <c r="V66" s="136"/>
    </row>
    <row r="67" spans="1:24" ht="14" x14ac:dyDescent="0.3">
      <c r="A67" s="67">
        <f t="shared" ref="A67:A75" si="39">A66+1</f>
        <v>67</v>
      </c>
      <c r="B67" s="31"/>
      <c r="C67" s="44" t="str">
        <f>+'BOS G2 NEMA'!C79</f>
        <v>Electronic Payment Recovery</v>
      </c>
      <c r="D67" s="44"/>
      <c r="E67" s="86"/>
      <c r="F67" s="136"/>
      <c r="G67" s="53">
        <v>0</v>
      </c>
      <c r="H67" s="92"/>
      <c r="I67" s="53">
        <f t="shared" si="34"/>
        <v>0</v>
      </c>
      <c r="J67" s="53">
        <f t="shared" si="35"/>
        <v>0</v>
      </c>
      <c r="K67" s="53">
        <f t="shared" si="36"/>
        <v>0</v>
      </c>
      <c r="L67" s="53"/>
      <c r="M67" s="54">
        <f t="shared" si="33"/>
        <v>0</v>
      </c>
      <c r="N67" s="54">
        <f t="shared" si="37"/>
        <v>0</v>
      </c>
      <c r="O67" s="54"/>
      <c r="P67" s="54">
        <f t="shared" si="38"/>
        <v>0</v>
      </c>
      <c r="Q67" s="89" t="str">
        <f>+'BOS G2 NEMA'!Q79</f>
        <v>EPR</v>
      </c>
      <c r="R67" s="136"/>
      <c r="S67" s="136"/>
      <c r="T67" s="136"/>
      <c r="U67" s="136"/>
      <c r="V67" s="136"/>
    </row>
    <row r="68" spans="1:24" ht="14" x14ac:dyDescent="0.3">
      <c r="A68" s="67">
        <f t="shared" si="39"/>
        <v>68</v>
      </c>
      <c r="B68" s="31"/>
      <c r="C68" s="44" t="str">
        <f>+'BOS G2 NEMA'!C80</f>
        <v>Provisional System Planning Factor</v>
      </c>
      <c r="D68" s="44"/>
      <c r="E68" s="86"/>
      <c r="F68" s="136"/>
      <c r="G68" s="91">
        <v>0</v>
      </c>
      <c r="H68" s="92"/>
      <c r="I68" s="91">
        <f t="shared" si="34"/>
        <v>0</v>
      </c>
      <c r="J68" s="91">
        <f t="shared" si="35"/>
        <v>0</v>
      </c>
      <c r="K68" s="91">
        <f t="shared" si="36"/>
        <v>0</v>
      </c>
      <c r="L68" s="91"/>
      <c r="M68" s="54">
        <f t="shared" si="33"/>
        <v>0</v>
      </c>
      <c r="N68" s="54">
        <f t="shared" si="37"/>
        <v>0</v>
      </c>
      <c r="O68" s="54"/>
      <c r="P68" s="54">
        <f t="shared" si="38"/>
        <v>0</v>
      </c>
      <c r="Q68" s="89" t="str">
        <f>+'BOS G2 NEMA'!Q80</f>
        <v>PSPF</v>
      </c>
      <c r="R68" s="136"/>
      <c r="S68" s="136"/>
      <c r="T68" s="136"/>
      <c r="U68" s="136"/>
      <c r="V68" s="136"/>
    </row>
    <row r="69" spans="1:24" ht="14" x14ac:dyDescent="0.3">
      <c r="A69" s="67">
        <f t="shared" si="39"/>
        <v>69</v>
      </c>
      <c r="B69" s="31"/>
      <c r="C69" s="44" t="str">
        <f>+'BOS G2 NEMA'!C81</f>
        <v>Electric Vehicle Factor</v>
      </c>
      <c r="D69" s="44"/>
      <c r="E69" s="86"/>
      <c r="F69" s="136"/>
      <c r="G69" s="91">
        <v>7.6000000000000004E-4</v>
      </c>
      <c r="H69" s="92"/>
      <c r="I69" s="91">
        <f t="shared" si="34"/>
        <v>7.6000000000000004E-4</v>
      </c>
      <c r="J69" s="91">
        <f t="shared" si="35"/>
        <v>7.6000000000000004E-4</v>
      </c>
      <c r="K69" s="91">
        <f t="shared" si="36"/>
        <v>7.6000000000000004E-4</v>
      </c>
      <c r="L69" s="91"/>
      <c r="M69" s="54">
        <f t="shared" si="33"/>
        <v>0</v>
      </c>
      <c r="N69" s="54">
        <f t="shared" si="37"/>
        <v>0</v>
      </c>
      <c r="O69" s="54"/>
      <c r="P69" s="54">
        <f t="shared" si="38"/>
        <v>0</v>
      </c>
      <c r="Q69" s="89" t="str">
        <f>+'BOS G2 NEMA'!Q81</f>
        <v>EVF</v>
      </c>
      <c r="R69" s="136"/>
      <c r="S69" s="136"/>
      <c r="T69" s="136"/>
      <c r="U69" s="136"/>
      <c r="V69" s="136"/>
    </row>
    <row r="70" spans="1:24" ht="14" x14ac:dyDescent="0.3">
      <c r="A70" s="67">
        <f t="shared" si="39"/>
        <v>70</v>
      </c>
      <c r="B70" s="31"/>
      <c r="C70" s="44" t="str">
        <f>+'BOS G2 NEMA'!C82</f>
        <v>Transition</v>
      </c>
      <c r="D70" s="44"/>
      <c r="E70" s="86"/>
      <c r="F70" s="136"/>
      <c r="G70" s="91">
        <v>-3.6999999999999999E-4</v>
      </c>
      <c r="H70" s="92"/>
      <c r="I70" s="91">
        <f t="shared" si="34"/>
        <v>-3.6999999999999999E-4</v>
      </c>
      <c r="J70" s="91">
        <f t="shared" si="35"/>
        <v>-3.6999999999999999E-4</v>
      </c>
      <c r="K70" s="91">
        <f t="shared" si="36"/>
        <v>-3.6999999999999999E-4</v>
      </c>
      <c r="L70" s="91"/>
      <c r="M70" s="54">
        <f t="shared" si="33"/>
        <v>0</v>
      </c>
      <c r="N70" s="54">
        <f t="shared" si="37"/>
        <v>0</v>
      </c>
      <c r="O70" s="54"/>
      <c r="P70" s="54">
        <f t="shared" si="38"/>
        <v>0</v>
      </c>
      <c r="Q70" s="89" t="str">
        <f>+'BOS G2 NEMA'!Q82</f>
        <v>TRNSN</v>
      </c>
      <c r="R70" s="136"/>
      <c r="S70" s="136"/>
      <c r="T70" s="136"/>
      <c r="U70" s="136"/>
      <c r="V70" s="136"/>
    </row>
    <row r="71" spans="1:24" ht="14" x14ac:dyDescent="0.3">
      <c r="A71" s="67">
        <f t="shared" si="39"/>
        <v>71</v>
      </c>
      <c r="B71" s="31"/>
      <c r="C71" s="44" t="s">
        <v>147</v>
      </c>
      <c r="D71" s="44"/>
      <c r="E71" s="86"/>
      <c r="F71" s="136"/>
      <c r="G71" s="88">
        <v>12.81</v>
      </c>
      <c r="H71" s="88"/>
      <c r="I71" s="88">
        <f t="shared" si="34"/>
        <v>12.81</v>
      </c>
      <c r="J71" s="88">
        <f t="shared" si="35"/>
        <v>12.81</v>
      </c>
      <c r="K71" s="88">
        <f t="shared" si="36"/>
        <v>12.81</v>
      </c>
      <c r="L71" s="88"/>
      <c r="M71" s="50">
        <f t="shared" si="33"/>
        <v>0</v>
      </c>
      <c r="N71" s="50">
        <f t="shared" si="37"/>
        <v>0</v>
      </c>
      <c r="O71" s="88"/>
      <c r="P71" s="50">
        <f t="shared" si="38"/>
        <v>0</v>
      </c>
      <c r="Q71" s="51" t="s">
        <v>104</v>
      </c>
      <c r="R71" s="136"/>
      <c r="S71" s="136"/>
      <c r="T71" s="136"/>
      <c r="U71" s="136"/>
      <c r="V71" s="136"/>
    </row>
    <row r="72" spans="1:24" ht="14" x14ac:dyDescent="0.3">
      <c r="A72" s="67">
        <f t="shared" si="39"/>
        <v>72</v>
      </c>
      <c r="B72" s="31"/>
      <c r="C72" s="44" t="s">
        <v>105</v>
      </c>
      <c r="E72" s="136"/>
      <c r="F72" s="136"/>
      <c r="G72" s="92">
        <v>-8.1300000000000001E-3</v>
      </c>
      <c r="H72" s="92"/>
      <c r="I72" s="92">
        <v>1.038E-2</v>
      </c>
      <c r="J72" s="92">
        <v>1.333E-2</v>
      </c>
      <c r="K72" s="92">
        <v>1.3129999999999999E-2</v>
      </c>
      <c r="L72" s="92"/>
      <c r="M72" s="54">
        <f t="shared" si="33"/>
        <v>1.8509999999999999E-2</v>
      </c>
      <c r="N72" s="54">
        <f t="shared" si="37"/>
        <v>2.9499999999999995E-3</v>
      </c>
      <c r="O72" s="54"/>
      <c r="P72" s="54">
        <f t="shared" si="38"/>
        <v>-2.0000000000000052E-4</v>
      </c>
      <c r="Q72" s="89" t="s">
        <v>106</v>
      </c>
      <c r="R72" s="136"/>
      <c r="S72" s="136"/>
      <c r="T72" s="136"/>
      <c r="U72" s="136"/>
      <c r="V72" s="136"/>
    </row>
    <row r="73" spans="1:24" ht="14" x14ac:dyDescent="0.3">
      <c r="A73" s="67">
        <f t="shared" si="39"/>
        <v>73</v>
      </c>
      <c r="C73" s="44" t="s">
        <v>107</v>
      </c>
      <c r="E73" s="136"/>
      <c r="F73" s="136"/>
      <c r="G73" s="92">
        <v>2.5000000000000001E-3</v>
      </c>
      <c r="H73" s="92"/>
      <c r="I73" s="92">
        <f t="shared" si="34"/>
        <v>2.5000000000000001E-3</v>
      </c>
      <c r="J73" s="92">
        <f t="shared" si="35"/>
        <v>2.5000000000000001E-3</v>
      </c>
      <c r="K73" s="92">
        <f t="shared" si="36"/>
        <v>2.5000000000000001E-3</v>
      </c>
      <c r="L73" s="92"/>
      <c r="M73" s="54">
        <f t="shared" si="33"/>
        <v>0</v>
      </c>
      <c r="N73" s="54">
        <f t="shared" si="37"/>
        <v>0</v>
      </c>
      <c r="O73" s="54"/>
      <c r="P73" s="54">
        <f t="shared" si="38"/>
        <v>0</v>
      </c>
      <c r="Q73" s="89" t="s">
        <v>108</v>
      </c>
      <c r="R73" s="136"/>
      <c r="S73" s="136"/>
      <c r="T73" s="136"/>
      <c r="U73" s="136"/>
      <c r="V73" s="136"/>
    </row>
    <row r="74" spans="1:24" ht="14" x14ac:dyDescent="0.3">
      <c r="A74" s="67">
        <f t="shared" si="39"/>
        <v>74</v>
      </c>
      <c r="C74" s="44" t="s">
        <v>109</v>
      </c>
      <c r="E74" s="136"/>
      <c r="F74" s="136"/>
      <c r="G74" s="92">
        <v>5.0000000000000001E-4</v>
      </c>
      <c r="H74" s="92"/>
      <c r="I74" s="92">
        <f t="shared" si="34"/>
        <v>5.0000000000000001E-4</v>
      </c>
      <c r="J74" s="92">
        <f t="shared" si="35"/>
        <v>5.0000000000000001E-4</v>
      </c>
      <c r="K74" s="92">
        <f t="shared" si="36"/>
        <v>5.0000000000000001E-4</v>
      </c>
      <c r="L74" s="92"/>
      <c r="M74" s="54">
        <f t="shared" si="33"/>
        <v>0</v>
      </c>
      <c r="N74" s="54">
        <f t="shared" si="37"/>
        <v>0</v>
      </c>
      <c r="O74" s="54"/>
      <c r="P74" s="54">
        <f t="shared" si="38"/>
        <v>0</v>
      </c>
      <c r="Q74" s="89" t="s">
        <v>110</v>
      </c>
      <c r="R74" s="136"/>
      <c r="S74" s="136"/>
      <c r="T74" s="136"/>
      <c r="U74" s="136"/>
      <c r="V74" s="136"/>
    </row>
    <row r="75" spans="1:24" ht="14" x14ac:dyDescent="0.3">
      <c r="A75" s="67">
        <f t="shared" si="39"/>
        <v>75</v>
      </c>
      <c r="C75" s="44" t="s">
        <v>111</v>
      </c>
      <c r="E75" s="136"/>
      <c r="F75" s="136"/>
      <c r="G75" s="92">
        <v>0.12114</v>
      </c>
      <c r="H75" s="92"/>
      <c r="I75" s="92">
        <f t="shared" si="34"/>
        <v>0.12114</v>
      </c>
      <c r="J75" s="92">
        <f t="shared" si="35"/>
        <v>0.12114</v>
      </c>
      <c r="K75" s="92">
        <f t="shared" si="36"/>
        <v>0.12114</v>
      </c>
      <c r="L75" s="92"/>
      <c r="M75" s="54">
        <f t="shared" si="33"/>
        <v>0</v>
      </c>
      <c r="N75" s="54">
        <f t="shared" si="37"/>
        <v>0</v>
      </c>
      <c r="O75" s="54"/>
      <c r="P75" s="54">
        <f t="shared" si="38"/>
        <v>0</v>
      </c>
      <c r="Q75" s="89" t="s">
        <v>112</v>
      </c>
      <c r="R75" s="136"/>
      <c r="S75" s="136"/>
      <c r="T75" s="136"/>
      <c r="U75" s="136"/>
      <c r="V75" s="136"/>
    </row>
    <row r="76" spans="1:24" ht="14" x14ac:dyDescent="0.3">
      <c r="A76" s="67"/>
      <c r="C76" s="44"/>
      <c r="E76" s="136"/>
      <c r="F76" s="136"/>
      <c r="G76" s="92"/>
      <c r="H76" s="92"/>
      <c r="I76" s="92"/>
      <c r="J76" s="94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X76" s="89"/>
    </row>
    <row r="77" spans="1:24" ht="14" x14ac:dyDescent="0.3">
      <c r="A77" s="67"/>
      <c r="C77" s="44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</row>
    <row r="78" spans="1:24" ht="14" x14ac:dyDescent="0.3">
      <c r="A78" s="67"/>
      <c r="C78" s="44" t="s">
        <v>58</v>
      </c>
      <c r="G78" s="88">
        <f>+G47</f>
        <v>110</v>
      </c>
      <c r="H78" s="88"/>
      <c r="I78" s="88">
        <f>+I47</f>
        <v>110</v>
      </c>
      <c r="J78" s="88">
        <f t="shared" ref="J78:K78" si="40">+J47</f>
        <v>110</v>
      </c>
      <c r="K78" s="88">
        <f t="shared" si="40"/>
        <v>110</v>
      </c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</row>
    <row r="79" spans="1:24" ht="14" x14ac:dyDescent="0.3">
      <c r="A79" s="67"/>
      <c r="C79" s="44" t="s">
        <v>148</v>
      </c>
      <c r="E79" s="136"/>
      <c r="F79" s="136"/>
      <c r="G79" s="88">
        <f>SUM(G48,G71)</f>
        <v>17.89</v>
      </c>
      <c r="H79" s="88"/>
      <c r="I79" s="88">
        <f>SUM(I48,I71)</f>
        <v>17.89</v>
      </c>
      <c r="J79" s="88">
        <f t="shared" ref="J79:K79" si="41">SUM(J48,J71)</f>
        <v>17.89</v>
      </c>
      <c r="K79" s="88">
        <f t="shared" si="41"/>
        <v>17.89</v>
      </c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</row>
    <row r="80" spans="1:24" ht="14" x14ac:dyDescent="0.3">
      <c r="A80" s="67"/>
      <c r="C80" s="44" t="s">
        <v>122</v>
      </c>
      <c r="E80" s="136"/>
      <c r="F80" s="136"/>
      <c r="G80" s="92">
        <f>SUM(G49:G70,G72:G74)</f>
        <v>3.2139999999999995E-2</v>
      </c>
      <c r="H80" s="92"/>
      <c r="I80" s="92">
        <f>SUM(I49:I70,I72:I74)</f>
        <v>5.0649999999999994E-2</v>
      </c>
      <c r="J80" s="92">
        <f t="shared" ref="J80:K80" si="42">SUM(J49:J70,J72:J74)</f>
        <v>5.3599999999999995E-2</v>
      </c>
      <c r="K80" s="92">
        <f t="shared" si="42"/>
        <v>5.3399999999999989E-2</v>
      </c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</row>
    <row r="81" spans="1:22" ht="14" x14ac:dyDescent="0.3">
      <c r="A81" s="67"/>
      <c r="C81" s="44" t="s">
        <v>123</v>
      </c>
      <c r="E81" s="136"/>
      <c r="F81" s="136"/>
      <c r="G81" s="92">
        <f>+G75</f>
        <v>0.12114</v>
      </c>
      <c r="H81" s="92"/>
      <c r="I81" s="92">
        <f>+I75</f>
        <v>0.12114</v>
      </c>
      <c r="J81" s="92">
        <f t="shared" ref="J81:K81" si="43">+J75</f>
        <v>0.12114</v>
      </c>
      <c r="K81" s="92">
        <f t="shared" si="43"/>
        <v>0.12114</v>
      </c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</row>
    <row r="82" spans="1:22" ht="14" x14ac:dyDescent="0.3"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</row>
    <row r="83" spans="1:22" ht="14" x14ac:dyDescent="0.3"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</row>
    <row r="84" spans="1:22" ht="14" x14ac:dyDescent="0.3"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</row>
    <row r="85" spans="1:22" ht="14" x14ac:dyDescent="0.3"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</row>
    <row r="86" spans="1:22" ht="14" x14ac:dyDescent="0.3"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</row>
    <row r="87" spans="1:22" ht="14" x14ac:dyDescent="0.3"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</row>
    <row r="88" spans="1:22" ht="14" x14ac:dyDescent="0.3"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</row>
    <row r="89" spans="1:22" ht="14" x14ac:dyDescent="0.3"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</row>
    <row r="90" spans="1:22" ht="14" x14ac:dyDescent="0.3"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</row>
    <row r="91" spans="1:22" ht="14" x14ac:dyDescent="0.3"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</row>
    <row r="92" spans="1:22" ht="14" x14ac:dyDescent="0.3"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</row>
    <row r="93" spans="1:22" ht="14" x14ac:dyDescent="0.3"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</row>
    <row r="94" spans="1:22" ht="14" x14ac:dyDescent="0.3"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</row>
    <row r="95" spans="1:22" ht="14" x14ac:dyDescent="0.3">
      <c r="I95" s="44"/>
      <c r="J95" s="44"/>
      <c r="K95" s="44"/>
    </row>
    <row r="96" spans="1:22" ht="14" x14ac:dyDescent="0.3">
      <c r="I96" s="44"/>
      <c r="J96" s="44"/>
      <c r="K96" s="44"/>
    </row>
    <row r="97" spans="3:23" ht="14" x14ac:dyDescent="0.3">
      <c r="I97" s="44"/>
      <c r="J97" s="44"/>
      <c r="K97" s="44"/>
    </row>
    <row r="98" spans="3:23" ht="14" x14ac:dyDescent="0.3">
      <c r="I98" s="44"/>
      <c r="J98" s="44"/>
      <c r="K98" s="44"/>
    </row>
    <row r="99" spans="3:23" ht="14" x14ac:dyDescent="0.3">
      <c r="I99" s="44"/>
      <c r="J99" s="44"/>
      <c r="K99" s="44"/>
    </row>
    <row r="100" spans="3:23" ht="14" x14ac:dyDescent="0.3">
      <c r="I100" s="44"/>
      <c r="J100" s="44"/>
      <c r="K100" s="44"/>
    </row>
    <row r="101" spans="3:23" ht="14" x14ac:dyDescent="0.3">
      <c r="I101" s="44"/>
      <c r="J101" s="44"/>
      <c r="K101" s="44"/>
    </row>
    <row r="102" spans="3:23" ht="14" x14ac:dyDescent="0.3">
      <c r="C102" s="95"/>
      <c r="D102" s="170"/>
      <c r="E102" s="170"/>
      <c r="F102" s="170"/>
      <c r="G102" s="170"/>
      <c r="H102" s="170"/>
      <c r="I102" s="180"/>
      <c r="J102" s="180"/>
      <c r="K102" s="18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</row>
    <row r="103" spans="3:23" ht="14" x14ac:dyDescent="0.3">
      <c r="C103" s="163"/>
      <c r="D103" s="163"/>
      <c r="E103" s="146"/>
      <c r="F103" s="146"/>
      <c r="G103" s="146"/>
      <c r="H103" s="147"/>
      <c r="I103" s="146"/>
      <c r="J103" s="146"/>
      <c r="K103" s="146"/>
      <c r="L103" s="147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8"/>
    </row>
    <row r="104" spans="3:23" ht="14" x14ac:dyDescent="0.3">
      <c r="I104" s="44"/>
      <c r="J104" s="44"/>
      <c r="K104" s="44"/>
    </row>
    <row r="105" spans="3:23" ht="14" x14ac:dyDescent="0.3">
      <c r="C105" s="163"/>
      <c r="D105" s="163"/>
      <c r="E105" s="146"/>
      <c r="F105" s="146"/>
      <c r="G105" s="146"/>
      <c r="H105" s="147"/>
      <c r="I105" s="146"/>
      <c r="J105" s="146"/>
      <c r="K105" s="146"/>
      <c r="L105" s="147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8"/>
    </row>
    <row r="106" spans="3:23" ht="14" x14ac:dyDescent="0.3">
      <c r="I106" s="44"/>
      <c r="J106" s="44"/>
      <c r="K106" s="44"/>
    </row>
    <row r="107" spans="3:23" ht="14" x14ac:dyDescent="0.3">
      <c r="I107" s="44"/>
      <c r="J107" s="44"/>
      <c r="K107" s="44"/>
    </row>
    <row r="108" spans="3:23" ht="14" x14ac:dyDescent="0.3">
      <c r="I108" s="44"/>
      <c r="J108" s="44"/>
      <c r="K108" s="44"/>
    </row>
    <row r="109" spans="3:23" ht="14" x14ac:dyDescent="0.3">
      <c r="I109" s="44"/>
      <c r="J109" s="44"/>
      <c r="K109" s="44"/>
    </row>
    <row r="110" spans="3:23" ht="14" x14ac:dyDescent="0.3">
      <c r="I110" s="44"/>
      <c r="J110" s="44"/>
      <c r="K110" s="44"/>
    </row>
    <row r="111" spans="3:23" ht="14" x14ac:dyDescent="0.3">
      <c r="I111" s="44"/>
      <c r="J111" s="44"/>
      <c r="K111" s="44"/>
    </row>
    <row r="112" spans="3:23" ht="14" x14ac:dyDescent="0.3">
      <c r="I112" s="44"/>
      <c r="J112" s="44"/>
      <c r="K112" s="44"/>
    </row>
    <row r="113" spans="9:11" ht="14" x14ac:dyDescent="0.3">
      <c r="I113" s="44"/>
      <c r="J113" s="44"/>
      <c r="K113" s="44"/>
    </row>
    <row r="114" spans="9:11" ht="14" x14ac:dyDescent="0.3">
      <c r="I114" s="44"/>
      <c r="J114" s="44"/>
      <c r="K114" s="44"/>
    </row>
    <row r="115" spans="9:11" ht="14" x14ac:dyDescent="0.3">
      <c r="I115" s="44"/>
      <c r="J115" s="44"/>
      <c r="K115" s="44"/>
    </row>
    <row r="116" spans="9:11" ht="14" x14ac:dyDescent="0.3">
      <c r="I116" s="44"/>
      <c r="J116" s="44"/>
      <c r="K116" s="44"/>
    </row>
    <row r="117" spans="9:11" ht="14" x14ac:dyDescent="0.3">
      <c r="I117" s="44"/>
      <c r="J117" s="44"/>
      <c r="K117" s="44"/>
    </row>
    <row r="118" spans="9:11" ht="14" x14ac:dyDescent="0.3">
      <c r="I118" s="44"/>
      <c r="J118" s="44"/>
      <c r="K118" s="44"/>
    </row>
    <row r="119" spans="9:11" ht="14" x14ac:dyDescent="0.3">
      <c r="I119" s="44"/>
      <c r="J119" s="44"/>
      <c r="K119" s="44"/>
    </row>
    <row r="120" spans="9:11" ht="14" x14ac:dyDescent="0.3">
      <c r="I120" s="44"/>
      <c r="J120" s="44"/>
      <c r="K120" s="44"/>
    </row>
    <row r="121" spans="9:11" ht="14" x14ac:dyDescent="0.3">
      <c r="I121" s="44"/>
      <c r="J121" s="44"/>
      <c r="K121" s="44"/>
    </row>
    <row r="122" spans="9:11" ht="14" x14ac:dyDescent="0.3">
      <c r="I122" s="44"/>
      <c r="J122" s="44"/>
      <c r="K122" s="44"/>
    </row>
    <row r="123" spans="9:11" ht="14" x14ac:dyDescent="0.3">
      <c r="I123" s="44"/>
      <c r="J123" s="44"/>
      <c r="K123" s="44"/>
    </row>
    <row r="124" spans="9:11" ht="14" x14ac:dyDescent="0.3">
      <c r="I124" s="44"/>
      <c r="J124" s="44"/>
      <c r="K124" s="44"/>
    </row>
    <row r="125" spans="9:11" ht="14" x14ac:dyDescent="0.3">
      <c r="I125" s="44"/>
      <c r="J125" s="44"/>
      <c r="K125" s="44"/>
    </row>
    <row r="126" spans="9:11" ht="14" x14ac:dyDescent="0.3">
      <c r="I126" s="44"/>
      <c r="J126" s="44"/>
      <c r="K126" s="44"/>
    </row>
    <row r="127" spans="9:11" ht="14" x14ac:dyDescent="0.3">
      <c r="I127" s="44"/>
      <c r="J127" s="44"/>
      <c r="K127" s="44"/>
    </row>
    <row r="128" spans="9:11" ht="14" x14ac:dyDescent="0.3">
      <c r="I128" s="44"/>
      <c r="J128" s="44"/>
      <c r="K128" s="44"/>
    </row>
    <row r="129" spans="9:11" ht="14" x14ac:dyDescent="0.3">
      <c r="I129" s="44"/>
      <c r="J129" s="44"/>
      <c r="K129" s="44"/>
    </row>
  </sheetData>
  <mergeCells count="7">
    <mergeCell ref="AA11:AB11"/>
    <mergeCell ref="E11:G11"/>
    <mergeCell ref="I11:K11"/>
    <mergeCell ref="M11:N11"/>
    <mergeCell ref="P11:R11"/>
    <mergeCell ref="T11:U11"/>
    <mergeCell ref="W11:Y11"/>
  </mergeCells>
  <pageMargins left="0.7" right="0.7" top="0.75" bottom="0.75" header="0.3" footer="0.3"/>
  <pageSetup scale="35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7AF4-EAA2-4020-8AAF-99578B8F2071}">
  <sheetPr>
    <tabColor theme="3" tint="0.59999389629810485"/>
    <pageSetUpPr fitToPage="1"/>
  </sheetPr>
  <dimension ref="A1:AI137"/>
  <sheetViews>
    <sheetView zoomScaleNormal="100" workbookViewId="0"/>
  </sheetViews>
  <sheetFormatPr defaultColWidth="9.1796875" defaultRowHeight="14" x14ac:dyDescent="0.3"/>
  <cols>
    <col min="1" max="1" width="4" style="2" customWidth="1"/>
    <col min="2" max="2" width="4.453125" style="2" bestFit="1" customWidth="1"/>
    <col min="3" max="5" width="11.81640625" style="2" customWidth="1"/>
    <col min="6" max="7" width="12.36328125" style="2" bestFit="1" customWidth="1"/>
    <col min="8" max="8" width="2" style="2" customWidth="1"/>
    <col min="9" max="9" width="11.81640625" style="2" customWidth="1"/>
    <col min="10" max="11" width="12.36328125" style="2" bestFit="1" customWidth="1"/>
    <col min="12" max="12" width="2" style="2" customWidth="1"/>
    <col min="13" max="14" width="11.81640625" style="2" customWidth="1"/>
    <col min="15" max="15" width="2" style="2" customWidth="1"/>
    <col min="16" max="16" width="11.81640625" style="2" customWidth="1"/>
    <col min="17" max="18" width="12.36328125" style="2" bestFit="1" customWidth="1"/>
    <col min="19" max="19" width="2" style="2" customWidth="1"/>
    <col min="20" max="21" width="11.81640625" style="2" customWidth="1"/>
    <col min="22" max="22" width="2" style="2" customWidth="1"/>
    <col min="23" max="23" width="11.81640625" style="2" customWidth="1"/>
    <col min="24" max="25" width="12.36328125" style="2" bestFit="1" customWidth="1"/>
    <col min="26" max="26" width="2" style="2" customWidth="1"/>
    <col min="27" max="28" width="11.81640625" style="2" customWidth="1"/>
    <col min="29" max="29" width="11.81640625" style="2" bestFit="1" customWidth="1"/>
    <col min="30" max="30" width="11.26953125" style="2" bestFit="1" customWidth="1"/>
    <col min="31" max="31" width="10.1796875" style="2" bestFit="1" customWidth="1"/>
    <col min="32" max="32" width="10.81640625" style="2" bestFit="1" customWidth="1"/>
    <col min="33" max="33" width="11.81640625" style="2" bestFit="1" customWidth="1"/>
    <col min="34" max="16384" width="9.1796875" style="2"/>
  </cols>
  <sheetData>
    <row r="1" spans="1:35" x14ac:dyDescent="0.3">
      <c r="A1" s="1">
        <v>1</v>
      </c>
    </row>
    <row r="2" spans="1:35" x14ac:dyDescent="0.3">
      <c r="A2" s="1">
        <f>A1+1</f>
        <v>2</v>
      </c>
    </row>
    <row r="3" spans="1:35" x14ac:dyDescent="0.3">
      <c r="A3" s="1">
        <f t="shared" ref="A3:A66" si="0">A2+1</f>
        <v>3</v>
      </c>
      <c r="B3" s="24" t="s">
        <v>40</v>
      </c>
    </row>
    <row r="4" spans="1:35" x14ac:dyDescent="0.3">
      <c r="A4" s="1">
        <f t="shared" si="0"/>
        <v>4</v>
      </c>
      <c r="B4" s="24" t="s">
        <v>41</v>
      </c>
      <c r="C4" s="44"/>
      <c r="D4" s="44"/>
      <c r="E4" s="149"/>
      <c r="F4" s="22"/>
      <c r="G4" s="150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35" x14ac:dyDescent="0.3">
      <c r="A5" s="1">
        <f t="shared" si="0"/>
        <v>5</v>
      </c>
      <c r="B5" s="24"/>
      <c r="C5" s="44"/>
      <c r="D5" s="44"/>
      <c r="E5" s="149"/>
      <c r="F5" s="22"/>
      <c r="G5" s="150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35" x14ac:dyDescent="0.3">
      <c r="A6" s="1">
        <f t="shared" si="0"/>
        <v>6</v>
      </c>
      <c r="B6" s="24" t="s">
        <v>137</v>
      </c>
      <c r="C6" s="44"/>
      <c r="D6" s="44"/>
      <c r="E6" s="149"/>
      <c r="F6" s="22"/>
      <c r="G6" s="150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35" x14ac:dyDescent="0.3">
      <c r="A7" s="1">
        <f t="shared" si="0"/>
        <v>7</v>
      </c>
      <c r="B7" s="24" t="s">
        <v>196</v>
      </c>
      <c r="C7" s="44"/>
      <c r="D7" s="44"/>
      <c r="E7" s="149"/>
      <c r="F7" s="22"/>
      <c r="G7" s="150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35" x14ac:dyDescent="0.3">
      <c r="A8" s="1">
        <f t="shared" si="0"/>
        <v>8</v>
      </c>
      <c r="B8" s="166"/>
      <c r="C8" s="44"/>
      <c r="D8" s="44"/>
      <c r="E8" s="149"/>
      <c r="F8" s="22"/>
      <c r="G8" s="150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35" x14ac:dyDescent="0.3">
      <c r="A9" s="1">
        <f t="shared" si="0"/>
        <v>9</v>
      </c>
      <c r="B9" s="104"/>
      <c r="C9" s="44"/>
      <c r="D9" s="44"/>
      <c r="E9" s="44"/>
      <c r="F9" s="44"/>
      <c r="G9" s="132"/>
      <c r="H9" s="44"/>
    </row>
    <row r="10" spans="1:35" x14ac:dyDescent="0.3">
      <c r="A10" s="1">
        <f t="shared" si="0"/>
        <v>10</v>
      </c>
      <c r="B10" s="31"/>
      <c r="C10" s="44"/>
      <c r="D10" s="44"/>
      <c r="E10" s="44"/>
      <c r="F10" s="44"/>
      <c r="G10" s="132"/>
      <c r="H10" s="44"/>
    </row>
    <row r="11" spans="1:35" x14ac:dyDescent="0.3">
      <c r="A11" s="1">
        <f t="shared" si="0"/>
        <v>11</v>
      </c>
      <c r="B11" s="31"/>
      <c r="C11" s="104" t="s">
        <v>2</v>
      </c>
      <c r="D11" s="104" t="s">
        <v>2</v>
      </c>
      <c r="E11" s="32" t="str">
        <f>'EMA R1'!D10</f>
        <v>2024 Monthly Bill</v>
      </c>
      <c r="F11" s="32"/>
      <c r="G11" s="32"/>
      <c r="H11" s="133"/>
      <c r="I11" s="32" t="str">
        <f>'EMA R1'!H10</f>
        <v>2025 Illustrative Monthly Bill</v>
      </c>
      <c r="J11" s="32"/>
      <c r="K11" s="32"/>
      <c r="L11" s="23"/>
      <c r="M11" s="32" t="str">
        <f>'EMA R1'!L10</f>
        <v>2025 vs. 2024</v>
      </c>
      <c r="N11" s="32"/>
      <c r="O11" s="27"/>
      <c r="P11" s="32" t="str">
        <f>'EMA R1'!O10</f>
        <v>2026 Illustrative Monthly Bill</v>
      </c>
      <c r="Q11" s="32"/>
      <c r="R11" s="32"/>
      <c r="S11" s="133"/>
      <c r="T11" s="32" t="str">
        <f>'EMA R1'!S10</f>
        <v>2026 vs. 2025</v>
      </c>
      <c r="U11" s="32"/>
      <c r="V11" s="23"/>
      <c r="W11" s="32" t="str">
        <f>'EMA R1'!V10</f>
        <v>2027 Illustrative Monthly Bill</v>
      </c>
      <c r="X11" s="32"/>
      <c r="Y11" s="32"/>
      <c r="Z11" s="133"/>
      <c r="AA11" s="32" t="str">
        <f>'EMA R1'!Z10</f>
        <v>2027 vs. 2026</v>
      </c>
      <c r="AB11" s="32"/>
      <c r="AC11" s="44"/>
      <c r="AD11" s="44"/>
      <c r="AE11" s="44"/>
      <c r="AF11" s="44"/>
      <c r="AG11" s="44"/>
      <c r="AH11" s="44"/>
      <c r="AI11" s="44"/>
    </row>
    <row r="12" spans="1:35" x14ac:dyDescent="0.3">
      <c r="A12" s="1">
        <f t="shared" si="0"/>
        <v>12</v>
      </c>
      <c r="B12" s="31"/>
      <c r="C12" s="134" t="s">
        <v>165</v>
      </c>
      <c r="D12" s="134" t="s">
        <v>47</v>
      </c>
      <c r="E12" s="34" t="s">
        <v>48</v>
      </c>
      <c r="F12" s="34" t="s">
        <v>49</v>
      </c>
      <c r="G12" s="34" t="s">
        <v>50</v>
      </c>
      <c r="H12" s="34"/>
      <c r="I12" s="34" t="s">
        <v>48</v>
      </c>
      <c r="J12" s="34" t="s">
        <v>49</v>
      </c>
      <c r="K12" s="34" t="s">
        <v>50</v>
      </c>
      <c r="L12" s="23"/>
      <c r="M12" s="34" t="s">
        <v>51</v>
      </c>
      <c r="N12" s="34" t="s">
        <v>14</v>
      </c>
      <c r="O12" s="34"/>
      <c r="P12" s="34" t="s">
        <v>48</v>
      </c>
      <c r="Q12" s="34" t="s">
        <v>49</v>
      </c>
      <c r="R12" s="34" t="s">
        <v>50</v>
      </c>
      <c r="S12" s="34"/>
      <c r="T12" s="34" t="s">
        <v>51</v>
      </c>
      <c r="U12" s="34" t="s">
        <v>14</v>
      </c>
      <c r="V12" s="23"/>
      <c r="W12" s="34" t="s">
        <v>48</v>
      </c>
      <c r="X12" s="34" t="s">
        <v>49</v>
      </c>
      <c r="Y12" s="34" t="s">
        <v>50</v>
      </c>
      <c r="Z12" s="34"/>
      <c r="AA12" s="34" t="s">
        <v>51</v>
      </c>
      <c r="AB12" s="34" t="s">
        <v>14</v>
      </c>
      <c r="AC12" s="44"/>
      <c r="AD12" s="44"/>
      <c r="AE12" s="44"/>
      <c r="AF12" s="44"/>
      <c r="AG12" s="44"/>
      <c r="AH12" s="44"/>
      <c r="AI12" s="44"/>
    </row>
    <row r="13" spans="1:35" x14ac:dyDescent="0.3">
      <c r="A13" s="1">
        <f t="shared" si="0"/>
        <v>13</v>
      </c>
      <c r="B13" s="31"/>
      <c r="C13" s="134"/>
      <c r="D13" s="134"/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AB13" s="44"/>
      <c r="AC13" s="44"/>
      <c r="AD13" s="44"/>
      <c r="AE13" s="44"/>
      <c r="AF13" s="44"/>
      <c r="AG13" s="44"/>
      <c r="AH13" s="44"/>
      <c r="AI13" s="44"/>
    </row>
    <row r="14" spans="1:35" x14ac:dyDescent="0.3">
      <c r="A14" s="1">
        <f t="shared" si="0"/>
        <v>14</v>
      </c>
      <c r="B14" s="31"/>
      <c r="C14" s="164" t="s">
        <v>126</v>
      </c>
      <c r="D14" s="104">
        <v>185</v>
      </c>
      <c r="E14" s="134"/>
      <c r="F14" s="134"/>
      <c r="G14" s="134"/>
      <c r="H14" s="44"/>
      <c r="I14" s="134"/>
      <c r="J14" s="134"/>
      <c r="K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AB14" s="44"/>
      <c r="AC14" s="44"/>
      <c r="AD14" s="44"/>
      <c r="AE14" s="44"/>
      <c r="AF14" s="44"/>
      <c r="AG14" s="44"/>
      <c r="AH14" s="44"/>
      <c r="AI14" s="44"/>
    </row>
    <row r="15" spans="1:35" x14ac:dyDescent="0.3">
      <c r="A15" s="1">
        <f t="shared" si="0"/>
        <v>15</v>
      </c>
      <c r="B15" s="31"/>
      <c r="C15" s="105">
        <v>80</v>
      </c>
      <c r="D15" s="106">
        <f t="shared" ref="D15:D22" si="1">C15*$D$14</f>
        <v>14800</v>
      </c>
      <c r="E15" s="191">
        <f>ROUND($G$77+$C15*$G$78+$D15*$G$79,2)</f>
        <v>2138.5300000000002</v>
      </c>
      <c r="F15" s="135">
        <f>ROUND($G$80*$D15,2)</f>
        <v>2006.29</v>
      </c>
      <c r="G15" s="135">
        <f t="shared" ref="G15:G22" si="2">SUM(E15:F15)</f>
        <v>4144.82</v>
      </c>
      <c r="H15" s="136"/>
      <c r="I15" s="191">
        <f>ROUND($I$77+$C15*$I$78+$D15*$I$79,2)</f>
        <v>2412.48</v>
      </c>
      <c r="J15" s="135">
        <f>ROUND($I$80*$D15,2)</f>
        <v>2006.29</v>
      </c>
      <c r="K15" s="135">
        <f t="shared" ref="K15:K22" si="3">SUM(I15:J15)</f>
        <v>4418.7700000000004</v>
      </c>
      <c r="L15" s="136"/>
      <c r="M15" s="135">
        <f t="shared" ref="M15:M22" si="4">+K15-G15</f>
        <v>273.95000000000073</v>
      </c>
      <c r="N15" s="137">
        <f t="shared" ref="N15:N22" si="5">+M15/G15</f>
        <v>6.6094546928455455E-2</v>
      </c>
      <c r="O15" s="135"/>
      <c r="P15" s="191">
        <f>ROUND($J$77+$C15*$J$78+$D15*$J$79,2)</f>
        <v>2456.14</v>
      </c>
      <c r="Q15" s="135">
        <f>ROUND($J$80*$D15,2)</f>
        <v>2006.29</v>
      </c>
      <c r="R15" s="135">
        <f t="shared" ref="R15:R22" si="6">SUM(P15:Q15)</f>
        <v>4462.43</v>
      </c>
      <c r="S15" s="136"/>
      <c r="T15" s="135">
        <f>+R15-K15</f>
        <v>43.659999999999854</v>
      </c>
      <c r="U15" s="137">
        <f>+T15/K15</f>
        <v>9.8805776268056159E-3</v>
      </c>
      <c r="V15" s="135"/>
      <c r="W15" s="191">
        <f>ROUND($K$77+$C15*$K$78+$D15*$K$79,2)</f>
        <v>2453.1799999999998</v>
      </c>
      <c r="X15" s="135">
        <f>ROUND($K$80*$D15,2)</f>
        <v>2006.29</v>
      </c>
      <c r="Y15" s="135">
        <f t="shared" ref="Y15:Y42" si="7">SUM(W15:X15)</f>
        <v>4459.4699999999993</v>
      </c>
      <c r="Z15" s="136"/>
      <c r="AA15" s="135">
        <f>+Y15-R15</f>
        <v>-2.9600000000009459</v>
      </c>
      <c r="AB15" s="137">
        <f>+AA15/R15</f>
        <v>-6.6331572708164515E-4</v>
      </c>
      <c r="AC15" s="136"/>
      <c r="AD15" s="136"/>
      <c r="AE15" s="136"/>
      <c r="AF15" s="136"/>
      <c r="AG15" s="136"/>
      <c r="AH15" s="136"/>
      <c r="AI15" s="136"/>
    </row>
    <row r="16" spans="1:35" x14ac:dyDescent="0.3">
      <c r="A16" s="1">
        <f t="shared" si="0"/>
        <v>16</v>
      </c>
      <c r="B16" s="31"/>
      <c r="C16" s="105">
        <v>120</v>
      </c>
      <c r="D16" s="106">
        <f t="shared" si="1"/>
        <v>22200</v>
      </c>
      <c r="E16" s="191">
        <f t="shared" ref="E16:E42" si="8">ROUND($G$77+$C16*$G$78+$D16*$G$79,2)</f>
        <v>3022.8</v>
      </c>
      <c r="F16" s="135">
        <f t="shared" ref="F16:F42" si="9">ROUND($G$80*$D16,2)</f>
        <v>3009.43</v>
      </c>
      <c r="G16" s="135">
        <f t="shared" si="2"/>
        <v>6032.23</v>
      </c>
      <c r="H16" s="136"/>
      <c r="I16" s="191">
        <f t="shared" ref="I16:I42" si="10">ROUND($I$77+$C16*$I$78+$D16*$I$79,2)</f>
        <v>3433.72</v>
      </c>
      <c r="J16" s="135">
        <f t="shared" ref="J16:J42" si="11">ROUND($I$80*$D16,2)</f>
        <v>3009.43</v>
      </c>
      <c r="K16" s="135">
        <f t="shared" si="3"/>
        <v>6443.15</v>
      </c>
      <c r="L16" s="136"/>
      <c r="M16" s="135">
        <f t="shared" si="4"/>
        <v>410.92000000000007</v>
      </c>
      <c r="N16" s="137">
        <f t="shared" si="5"/>
        <v>6.8120744732876576E-2</v>
      </c>
      <c r="O16" s="135"/>
      <c r="P16" s="191">
        <f t="shared" ref="P16:P42" si="12">ROUND($J$77+$C16*$J$78+$D16*$J$79,2)</f>
        <v>3499.21</v>
      </c>
      <c r="Q16" s="135">
        <f t="shared" ref="Q16:Q42" si="13">ROUND($J$80*$D16,2)</f>
        <v>3009.43</v>
      </c>
      <c r="R16" s="135">
        <f t="shared" si="6"/>
        <v>6508.6399999999994</v>
      </c>
      <c r="S16" s="136"/>
      <c r="T16" s="135">
        <f t="shared" ref="T16:T42" si="14">+R16-K16</f>
        <v>65.489999999999782</v>
      </c>
      <c r="U16" s="137">
        <f t="shared" ref="U16:U42" si="15">+T16/K16</f>
        <v>1.0164282998222886E-2</v>
      </c>
      <c r="V16" s="135"/>
      <c r="W16" s="191">
        <f>ROUND($K$77+$C16*$K$78+$D16*$K$79,2)</f>
        <v>3494.77</v>
      </c>
      <c r="X16" s="135">
        <f t="shared" ref="X16:X42" si="16">ROUND($K$80*$D16,2)</f>
        <v>3009.43</v>
      </c>
      <c r="Y16" s="135">
        <f t="shared" si="7"/>
        <v>6504.2</v>
      </c>
      <c r="Z16" s="136"/>
      <c r="AA16" s="135">
        <f t="shared" ref="AA16:AA42" si="17">+Y16-R16</f>
        <v>-4.4399999999995998</v>
      </c>
      <c r="AB16" s="137">
        <f t="shared" ref="AB16:AB42" si="18">+AA16/R16</f>
        <v>-6.8217016150833357E-4</v>
      </c>
      <c r="AC16" s="136"/>
      <c r="AD16" s="136"/>
      <c r="AE16" s="136"/>
      <c r="AF16" s="136"/>
      <c r="AG16" s="136"/>
      <c r="AH16" s="136"/>
      <c r="AI16" s="136"/>
    </row>
    <row r="17" spans="1:35" x14ac:dyDescent="0.3">
      <c r="A17" s="1">
        <f t="shared" si="0"/>
        <v>17</v>
      </c>
      <c r="B17" s="31"/>
      <c r="C17" s="105">
        <v>140</v>
      </c>
      <c r="D17" s="106">
        <f t="shared" si="1"/>
        <v>25900</v>
      </c>
      <c r="E17" s="191">
        <f>ROUND($G$77+$C17*$G$78+$D17*$G$79,2)</f>
        <v>3464.93</v>
      </c>
      <c r="F17" s="135">
        <f>ROUND($G$80*$D17,2)</f>
        <v>3511</v>
      </c>
      <c r="G17" s="135">
        <f t="shared" si="2"/>
        <v>6975.93</v>
      </c>
      <c r="H17" s="136"/>
      <c r="I17" s="191">
        <f>ROUND($I$77+$C17*$I$78+$D17*$I$79,2)</f>
        <v>3944.34</v>
      </c>
      <c r="J17" s="135">
        <f t="shared" si="11"/>
        <v>3511</v>
      </c>
      <c r="K17" s="135">
        <f t="shared" si="3"/>
        <v>7455.34</v>
      </c>
      <c r="L17" s="136"/>
      <c r="M17" s="135">
        <f t="shared" si="4"/>
        <v>479.40999999999985</v>
      </c>
      <c r="N17" s="137">
        <f t="shared" si="5"/>
        <v>6.8723453360340456E-2</v>
      </c>
      <c r="O17" s="135"/>
      <c r="P17" s="191">
        <f t="shared" si="12"/>
        <v>4020.75</v>
      </c>
      <c r="Q17" s="135">
        <f>ROUND($J$80*$D17,2)</f>
        <v>3511</v>
      </c>
      <c r="R17" s="135">
        <f t="shared" si="6"/>
        <v>7531.75</v>
      </c>
      <c r="S17" s="136"/>
      <c r="T17" s="135">
        <f t="shared" si="14"/>
        <v>76.409999999999854</v>
      </c>
      <c r="U17" s="137">
        <f t="shared" si="15"/>
        <v>1.0249029554654765E-2</v>
      </c>
      <c r="V17" s="135"/>
      <c r="W17" s="191">
        <f t="shared" ref="W17:W42" si="19">ROUND($K$77+$C17*$K$78+$D17*$K$79,2)</f>
        <v>4015.57</v>
      </c>
      <c r="X17" s="135">
        <f t="shared" si="16"/>
        <v>3511</v>
      </c>
      <c r="Y17" s="135">
        <f t="shared" si="7"/>
        <v>7526.57</v>
      </c>
      <c r="Z17" s="136"/>
      <c r="AA17" s="135">
        <f t="shared" si="17"/>
        <v>-5.180000000000291</v>
      </c>
      <c r="AB17" s="137">
        <f t="shared" si="18"/>
        <v>-6.8775516978129793E-4</v>
      </c>
      <c r="AC17" s="136"/>
      <c r="AD17" s="136"/>
      <c r="AE17" s="136"/>
      <c r="AF17" s="136"/>
      <c r="AG17" s="136"/>
      <c r="AH17" s="136"/>
      <c r="AI17" s="136"/>
    </row>
    <row r="18" spans="1:35" x14ac:dyDescent="0.3">
      <c r="A18" s="1">
        <f t="shared" si="0"/>
        <v>18</v>
      </c>
      <c r="B18" s="31"/>
      <c r="C18" s="105">
        <v>170</v>
      </c>
      <c r="D18" s="106">
        <f t="shared" si="1"/>
        <v>31450</v>
      </c>
      <c r="E18" s="191">
        <f t="shared" si="8"/>
        <v>4128.13</v>
      </c>
      <c r="F18" s="135">
        <f t="shared" si="9"/>
        <v>4263.3599999999997</v>
      </c>
      <c r="G18" s="135">
        <f t="shared" si="2"/>
        <v>8391.49</v>
      </c>
      <c r="H18" s="136"/>
      <c r="I18" s="191">
        <f>ROUND($I$77+$C18*$I$78+$D18*$I$79,2)</f>
        <v>4710.2700000000004</v>
      </c>
      <c r="J18" s="135">
        <f t="shared" si="11"/>
        <v>4263.3599999999997</v>
      </c>
      <c r="K18" s="135">
        <f t="shared" si="3"/>
        <v>8973.630000000001</v>
      </c>
      <c r="L18" s="136"/>
      <c r="M18" s="135">
        <f t="shared" si="4"/>
        <v>582.14000000000124</v>
      </c>
      <c r="N18" s="137">
        <f t="shared" si="5"/>
        <v>6.9372662065974131E-2</v>
      </c>
      <c r="O18" s="135"/>
      <c r="P18" s="191">
        <f>ROUND($J$77+$C18*$J$78+$D18*$J$79,2)</f>
        <v>4803.05</v>
      </c>
      <c r="Q18" s="135">
        <f t="shared" si="13"/>
        <v>4263.3599999999997</v>
      </c>
      <c r="R18" s="135">
        <f t="shared" si="6"/>
        <v>9066.41</v>
      </c>
      <c r="S18" s="136"/>
      <c r="T18" s="135">
        <f t="shared" si="14"/>
        <v>92.779999999998836</v>
      </c>
      <c r="U18" s="137">
        <f t="shared" si="15"/>
        <v>1.0339182694182714E-2</v>
      </c>
      <c r="V18" s="135"/>
      <c r="W18" s="191">
        <f t="shared" si="19"/>
        <v>4796.76</v>
      </c>
      <c r="X18" s="135">
        <f>ROUND($K$80*$D18,2)</f>
        <v>4263.3599999999997</v>
      </c>
      <c r="Y18" s="135">
        <f t="shared" si="7"/>
        <v>9060.119999999999</v>
      </c>
      <c r="Z18" s="136"/>
      <c r="AA18" s="135">
        <f t="shared" si="17"/>
        <v>-6.2900000000008731</v>
      </c>
      <c r="AB18" s="137">
        <f t="shared" si="18"/>
        <v>-6.9376963980239954E-4</v>
      </c>
      <c r="AC18" s="136"/>
      <c r="AD18" s="136"/>
      <c r="AE18" s="136"/>
      <c r="AF18" s="136"/>
      <c r="AG18" s="136"/>
      <c r="AH18" s="136"/>
      <c r="AI18" s="136"/>
    </row>
    <row r="19" spans="1:35" x14ac:dyDescent="0.3">
      <c r="A19" s="1">
        <f t="shared" si="0"/>
        <v>19</v>
      </c>
      <c r="B19" s="31"/>
      <c r="C19" s="105">
        <v>215</v>
      </c>
      <c r="D19" s="106">
        <f t="shared" si="1"/>
        <v>39775</v>
      </c>
      <c r="E19" s="191">
        <f t="shared" si="8"/>
        <v>5122.93</v>
      </c>
      <c r="F19" s="135">
        <f t="shared" si="9"/>
        <v>5391.9</v>
      </c>
      <c r="G19" s="135">
        <f t="shared" si="2"/>
        <v>10514.83</v>
      </c>
      <c r="H19" s="136"/>
      <c r="I19" s="191">
        <f t="shared" si="10"/>
        <v>5859.17</v>
      </c>
      <c r="J19" s="135">
        <f>ROUND($I$80*$D19,2)</f>
        <v>5391.9</v>
      </c>
      <c r="K19" s="135">
        <f t="shared" si="3"/>
        <v>11251.07</v>
      </c>
      <c r="L19" s="136"/>
      <c r="M19" s="135">
        <f t="shared" si="4"/>
        <v>736.23999999999978</v>
      </c>
      <c r="N19" s="137">
        <f t="shared" si="5"/>
        <v>7.0019201451663959E-2</v>
      </c>
      <c r="O19" s="135"/>
      <c r="P19" s="191">
        <f t="shared" si="12"/>
        <v>5976.5</v>
      </c>
      <c r="Q19" s="135">
        <f t="shared" si="13"/>
        <v>5391.9</v>
      </c>
      <c r="R19" s="135">
        <f t="shared" si="6"/>
        <v>11368.4</v>
      </c>
      <c r="S19" s="136"/>
      <c r="T19" s="135">
        <f t="shared" si="14"/>
        <v>117.32999999999993</v>
      </c>
      <c r="U19" s="137">
        <f t="shared" si="15"/>
        <v>1.042834148218791E-2</v>
      </c>
      <c r="V19" s="135"/>
      <c r="W19" s="191">
        <f t="shared" si="19"/>
        <v>5968.55</v>
      </c>
      <c r="X19" s="135">
        <f t="shared" si="16"/>
        <v>5391.9</v>
      </c>
      <c r="Y19" s="135">
        <f t="shared" si="7"/>
        <v>11360.45</v>
      </c>
      <c r="Z19" s="136"/>
      <c r="AA19" s="135">
        <f t="shared" si="17"/>
        <v>-7.9499999999989086</v>
      </c>
      <c r="AB19" s="137">
        <f t="shared" si="18"/>
        <v>-6.9930685056814577E-4</v>
      </c>
      <c r="AC19" s="136"/>
      <c r="AD19" s="136"/>
      <c r="AE19" s="136"/>
      <c r="AF19" s="136"/>
      <c r="AG19" s="136"/>
      <c r="AH19" s="136"/>
      <c r="AI19" s="136"/>
    </row>
    <row r="20" spans="1:35" x14ac:dyDescent="0.3">
      <c r="A20" s="1">
        <f t="shared" si="0"/>
        <v>20</v>
      </c>
      <c r="B20" s="31"/>
      <c r="C20" s="105">
        <v>290</v>
      </c>
      <c r="D20" s="106">
        <f t="shared" si="1"/>
        <v>53650</v>
      </c>
      <c r="E20" s="191">
        <f t="shared" si="8"/>
        <v>6780.93</v>
      </c>
      <c r="F20" s="135">
        <f t="shared" si="9"/>
        <v>7272.79</v>
      </c>
      <c r="G20" s="135">
        <f t="shared" si="2"/>
        <v>14053.720000000001</v>
      </c>
      <c r="H20" s="136"/>
      <c r="I20" s="191">
        <f t="shared" si="10"/>
        <v>7773.99</v>
      </c>
      <c r="J20" s="135">
        <f t="shared" si="11"/>
        <v>7272.79</v>
      </c>
      <c r="K20" s="135">
        <f t="shared" si="3"/>
        <v>15046.779999999999</v>
      </c>
      <c r="L20" s="136"/>
      <c r="M20" s="135">
        <f t="shared" si="4"/>
        <v>993.05999999999767</v>
      </c>
      <c r="N20" s="137">
        <f t="shared" si="5"/>
        <v>7.0661718036220844E-2</v>
      </c>
      <c r="O20" s="135"/>
      <c r="P20" s="191">
        <f t="shared" si="12"/>
        <v>7932.26</v>
      </c>
      <c r="Q20" s="135">
        <f t="shared" si="13"/>
        <v>7272.79</v>
      </c>
      <c r="R20" s="135">
        <f t="shared" si="6"/>
        <v>15205.05</v>
      </c>
      <c r="S20" s="136"/>
      <c r="T20" s="135">
        <f t="shared" si="14"/>
        <v>158.27000000000044</v>
      </c>
      <c r="U20" s="137">
        <f t="shared" si="15"/>
        <v>1.0518529545856352E-2</v>
      </c>
      <c r="V20" s="135"/>
      <c r="W20" s="191">
        <f t="shared" si="19"/>
        <v>7921.53</v>
      </c>
      <c r="X20" s="135">
        <f t="shared" si="16"/>
        <v>7272.79</v>
      </c>
      <c r="Y20" s="135">
        <f t="shared" si="7"/>
        <v>15194.32</v>
      </c>
      <c r="Z20" s="136"/>
      <c r="AA20" s="135">
        <f t="shared" si="17"/>
        <v>-10.729999999999563</v>
      </c>
      <c r="AB20" s="137">
        <f t="shared" si="18"/>
        <v>-7.0568659754486598E-4</v>
      </c>
      <c r="AC20" s="136"/>
      <c r="AD20" s="136"/>
      <c r="AE20" s="136"/>
      <c r="AF20" s="136"/>
      <c r="AG20" s="136"/>
      <c r="AH20" s="136"/>
      <c r="AI20" s="136"/>
    </row>
    <row r="21" spans="1:35" x14ac:dyDescent="0.3">
      <c r="A21" s="1">
        <f t="shared" si="0"/>
        <v>21</v>
      </c>
      <c r="B21" s="31"/>
      <c r="C21" s="105">
        <v>500</v>
      </c>
      <c r="D21" s="106">
        <f t="shared" si="1"/>
        <v>92500</v>
      </c>
      <c r="E21" s="191">
        <f t="shared" si="8"/>
        <v>11423.33</v>
      </c>
      <c r="F21" s="135">
        <f t="shared" si="9"/>
        <v>12539.3</v>
      </c>
      <c r="G21" s="135">
        <f t="shared" si="2"/>
        <v>23962.629999999997</v>
      </c>
      <c r="H21" s="136"/>
      <c r="I21" s="191">
        <f t="shared" si="10"/>
        <v>13135.5</v>
      </c>
      <c r="J21" s="135">
        <f t="shared" si="11"/>
        <v>12539.3</v>
      </c>
      <c r="K21" s="135">
        <f t="shared" si="3"/>
        <v>25674.799999999999</v>
      </c>
      <c r="L21" s="136"/>
      <c r="M21" s="135">
        <f t="shared" si="4"/>
        <v>1712.1700000000019</v>
      </c>
      <c r="N21" s="137">
        <f t="shared" si="5"/>
        <v>7.1451672875640193E-2</v>
      </c>
      <c r="O21" s="135"/>
      <c r="P21" s="191">
        <f t="shared" si="12"/>
        <v>13408.38</v>
      </c>
      <c r="Q21" s="135">
        <f t="shared" si="13"/>
        <v>12539.3</v>
      </c>
      <c r="R21" s="135">
        <f t="shared" si="6"/>
        <v>25947.68</v>
      </c>
      <c r="S21" s="136"/>
      <c r="T21" s="135">
        <f t="shared" si="14"/>
        <v>272.88000000000102</v>
      </c>
      <c r="U21" s="137">
        <f t="shared" si="15"/>
        <v>1.0628320376400246E-2</v>
      </c>
      <c r="V21" s="135"/>
      <c r="W21" s="191">
        <f t="shared" si="19"/>
        <v>13389.88</v>
      </c>
      <c r="X21" s="135">
        <f t="shared" si="16"/>
        <v>12539.3</v>
      </c>
      <c r="Y21" s="135">
        <f t="shared" si="7"/>
        <v>25929.18</v>
      </c>
      <c r="Z21" s="136"/>
      <c r="AA21" s="135">
        <f t="shared" si="17"/>
        <v>-18.5</v>
      </c>
      <c r="AB21" s="137">
        <f t="shared" si="18"/>
        <v>-7.129731829589389E-4</v>
      </c>
      <c r="AC21" s="136"/>
      <c r="AD21" s="136"/>
      <c r="AE21" s="136"/>
      <c r="AF21" s="136"/>
      <c r="AG21" s="136"/>
      <c r="AH21" s="136"/>
      <c r="AI21" s="136"/>
    </row>
    <row r="22" spans="1:35" x14ac:dyDescent="0.3">
      <c r="A22" s="1">
        <f t="shared" si="0"/>
        <v>22</v>
      </c>
      <c r="B22" s="31" t="s">
        <v>52</v>
      </c>
      <c r="C22" s="105">
        <v>215</v>
      </c>
      <c r="D22" s="106">
        <f t="shared" si="1"/>
        <v>39775</v>
      </c>
      <c r="E22" s="191">
        <f t="shared" si="8"/>
        <v>5122.93</v>
      </c>
      <c r="F22" s="135">
        <f t="shared" si="9"/>
        <v>5391.9</v>
      </c>
      <c r="G22" s="135">
        <f t="shared" si="2"/>
        <v>10514.83</v>
      </c>
      <c r="H22" s="136"/>
      <c r="I22" s="191">
        <f t="shared" si="10"/>
        <v>5859.17</v>
      </c>
      <c r="J22" s="135">
        <f t="shared" si="11"/>
        <v>5391.9</v>
      </c>
      <c r="K22" s="135">
        <f t="shared" si="3"/>
        <v>11251.07</v>
      </c>
      <c r="L22" s="136"/>
      <c r="M22" s="135">
        <f t="shared" si="4"/>
        <v>736.23999999999978</v>
      </c>
      <c r="N22" s="137">
        <f t="shared" si="5"/>
        <v>7.0019201451663959E-2</v>
      </c>
      <c r="O22" s="135"/>
      <c r="P22" s="191">
        <f t="shared" si="12"/>
        <v>5976.5</v>
      </c>
      <c r="Q22" s="135">
        <f t="shared" si="13"/>
        <v>5391.9</v>
      </c>
      <c r="R22" s="135">
        <f t="shared" si="6"/>
        <v>11368.4</v>
      </c>
      <c r="S22" s="136"/>
      <c r="T22" s="135">
        <f t="shared" si="14"/>
        <v>117.32999999999993</v>
      </c>
      <c r="U22" s="137">
        <f t="shared" si="15"/>
        <v>1.042834148218791E-2</v>
      </c>
      <c r="V22" s="135"/>
      <c r="W22" s="191">
        <f t="shared" si="19"/>
        <v>5968.55</v>
      </c>
      <c r="X22" s="135">
        <f t="shared" si="16"/>
        <v>5391.9</v>
      </c>
      <c r="Y22" s="135">
        <f t="shared" si="7"/>
        <v>11360.45</v>
      </c>
      <c r="Z22" s="136"/>
      <c r="AA22" s="135">
        <f t="shared" si="17"/>
        <v>-7.9499999999989086</v>
      </c>
      <c r="AB22" s="137">
        <f t="shared" si="18"/>
        <v>-6.9930685056814577E-4</v>
      </c>
      <c r="AC22" s="136"/>
      <c r="AD22" s="136"/>
      <c r="AE22" s="136"/>
      <c r="AF22" s="136"/>
      <c r="AG22" s="136"/>
      <c r="AH22" s="136"/>
      <c r="AI22" s="136"/>
    </row>
    <row r="23" spans="1:35" x14ac:dyDescent="0.3">
      <c r="A23" s="1">
        <f t="shared" si="0"/>
        <v>23</v>
      </c>
      <c r="B23" s="31"/>
      <c r="C23" s="158"/>
      <c r="D23" s="158"/>
      <c r="E23" s="191"/>
      <c r="F23" s="135"/>
      <c r="G23" s="153"/>
      <c r="H23" s="159"/>
      <c r="I23" s="191"/>
      <c r="J23" s="135"/>
      <c r="K23" s="153"/>
      <c r="L23" s="159"/>
      <c r="M23" s="153"/>
      <c r="N23" s="160"/>
      <c r="O23" s="153"/>
      <c r="P23" s="191"/>
      <c r="Q23" s="135"/>
      <c r="R23" s="153"/>
      <c r="S23" s="159"/>
      <c r="T23" s="135"/>
      <c r="U23" s="137"/>
      <c r="V23" s="153"/>
      <c r="W23" s="191"/>
      <c r="X23" s="135"/>
      <c r="Y23" s="135"/>
      <c r="Z23" s="159"/>
      <c r="AA23" s="135"/>
      <c r="AB23" s="137"/>
    </row>
    <row r="24" spans="1:35" x14ac:dyDescent="0.3">
      <c r="A24" s="1">
        <f t="shared" si="0"/>
        <v>24</v>
      </c>
      <c r="B24" s="31"/>
      <c r="C24" s="164" t="s">
        <v>126</v>
      </c>
      <c r="D24" s="104">
        <v>360</v>
      </c>
      <c r="E24" s="191"/>
      <c r="F24" s="135"/>
      <c r="G24" s="153"/>
      <c r="H24" s="159"/>
      <c r="I24" s="191"/>
      <c r="J24" s="135"/>
      <c r="K24" s="153"/>
      <c r="L24" s="159"/>
      <c r="M24" s="153"/>
      <c r="N24" s="160"/>
      <c r="O24" s="153"/>
      <c r="P24" s="191"/>
      <c r="Q24" s="135"/>
      <c r="R24" s="153"/>
      <c r="S24" s="159"/>
      <c r="T24" s="135"/>
      <c r="U24" s="137"/>
      <c r="V24" s="153"/>
      <c r="W24" s="191"/>
      <c r="X24" s="135"/>
      <c r="Y24" s="135"/>
      <c r="Z24" s="159"/>
      <c r="AA24" s="135"/>
      <c r="AB24" s="137"/>
    </row>
    <row r="25" spans="1:35" x14ac:dyDescent="0.3">
      <c r="A25" s="1">
        <f t="shared" si="0"/>
        <v>25</v>
      </c>
      <c r="B25" s="31"/>
      <c r="C25" s="105">
        <v>85</v>
      </c>
      <c r="D25" s="106">
        <f t="shared" ref="D25:D32" si="20">C25*$D$24</f>
        <v>30600</v>
      </c>
      <c r="E25" s="191">
        <f t="shared" si="8"/>
        <v>2726.4</v>
      </c>
      <c r="F25" s="135">
        <f t="shared" si="9"/>
        <v>4148.1400000000003</v>
      </c>
      <c r="G25" s="135">
        <f t="shared" ref="G25:G32" si="21">SUM(E25:F25)</f>
        <v>6874.5400000000009</v>
      </c>
      <c r="H25" s="136"/>
      <c r="I25" s="191">
        <f t="shared" si="10"/>
        <v>3292.81</v>
      </c>
      <c r="J25" s="135">
        <f t="shared" si="11"/>
        <v>4148.1400000000003</v>
      </c>
      <c r="K25" s="135">
        <f t="shared" ref="K25:K32" si="22">SUM(I25:J25)</f>
        <v>7440.9500000000007</v>
      </c>
      <c r="L25" s="136"/>
      <c r="M25" s="135">
        <f t="shared" ref="M25:M32" si="23">+K25-G25</f>
        <v>566.40999999999985</v>
      </c>
      <c r="N25" s="137">
        <f t="shared" ref="N25:N32" si="24">+M25/G25</f>
        <v>8.2392421892955717E-2</v>
      </c>
      <c r="O25" s="135"/>
      <c r="P25" s="191">
        <f t="shared" si="12"/>
        <v>3383.08</v>
      </c>
      <c r="Q25" s="135">
        <f>ROUND($J$80*$D25,2)</f>
        <v>4148.1400000000003</v>
      </c>
      <c r="R25" s="135">
        <f t="shared" ref="R25:R32" si="25">SUM(P25:Q25)</f>
        <v>7531.22</v>
      </c>
      <c r="S25" s="136"/>
      <c r="T25" s="135">
        <f t="shared" si="14"/>
        <v>90.269999999999527</v>
      </c>
      <c r="U25" s="137">
        <f t="shared" si="15"/>
        <v>1.2131515465095118E-2</v>
      </c>
      <c r="V25" s="135"/>
      <c r="W25" s="191">
        <f t="shared" si="19"/>
        <v>3376.96</v>
      </c>
      <c r="X25" s="135">
        <f t="shared" si="16"/>
        <v>4148.1400000000003</v>
      </c>
      <c r="Y25" s="135">
        <f t="shared" si="7"/>
        <v>7525.1</v>
      </c>
      <c r="Z25" s="136"/>
      <c r="AA25" s="135">
        <f t="shared" si="17"/>
        <v>-6.1199999999998909</v>
      </c>
      <c r="AB25" s="137">
        <f t="shared" si="18"/>
        <v>-8.1261734486575755E-4</v>
      </c>
      <c r="AC25" s="136"/>
      <c r="AD25" s="136"/>
      <c r="AE25" s="136"/>
      <c r="AF25" s="136"/>
      <c r="AG25" s="136"/>
      <c r="AH25" s="136"/>
      <c r="AI25" s="136"/>
    </row>
    <row r="26" spans="1:35" x14ac:dyDescent="0.3">
      <c r="A26" s="1">
        <f t="shared" si="0"/>
        <v>26</v>
      </c>
      <c r="B26" s="31"/>
      <c r="C26" s="105">
        <v>115</v>
      </c>
      <c r="D26" s="106">
        <f t="shared" si="20"/>
        <v>41400</v>
      </c>
      <c r="E26" s="191">
        <f t="shared" si="8"/>
        <v>3558.08</v>
      </c>
      <c r="F26" s="135">
        <f t="shared" si="9"/>
        <v>5612.18</v>
      </c>
      <c r="G26" s="135">
        <f t="shared" si="21"/>
        <v>9170.26</v>
      </c>
      <c r="H26" s="136"/>
      <c r="I26" s="191">
        <f t="shared" si="10"/>
        <v>4324.3900000000003</v>
      </c>
      <c r="J26" s="135">
        <f t="shared" si="11"/>
        <v>5612.18</v>
      </c>
      <c r="K26" s="135">
        <f t="shared" si="22"/>
        <v>9936.57</v>
      </c>
      <c r="L26" s="136"/>
      <c r="M26" s="135">
        <f t="shared" si="23"/>
        <v>766.30999999999949</v>
      </c>
      <c r="N26" s="137">
        <f t="shared" si="24"/>
        <v>8.3564697184158293E-2</v>
      </c>
      <c r="O26" s="135"/>
      <c r="P26" s="191">
        <f t="shared" si="12"/>
        <v>4446.5200000000004</v>
      </c>
      <c r="Q26" s="135">
        <f t="shared" si="13"/>
        <v>5612.18</v>
      </c>
      <c r="R26" s="135">
        <f t="shared" si="25"/>
        <v>10058.700000000001</v>
      </c>
      <c r="S26" s="136"/>
      <c r="T26" s="135">
        <f t="shared" si="14"/>
        <v>122.13000000000102</v>
      </c>
      <c r="U26" s="137">
        <f t="shared" si="15"/>
        <v>1.2290961569233752E-2</v>
      </c>
      <c r="V26" s="135"/>
      <c r="W26" s="191">
        <f t="shared" si="19"/>
        <v>4438.24</v>
      </c>
      <c r="X26" s="135">
        <f t="shared" si="16"/>
        <v>5612.18</v>
      </c>
      <c r="Y26" s="135">
        <f t="shared" si="7"/>
        <v>10050.42</v>
      </c>
      <c r="Z26" s="136"/>
      <c r="AA26" s="135">
        <f t="shared" si="17"/>
        <v>-8.2800000000006548</v>
      </c>
      <c r="AB26" s="137">
        <f t="shared" si="18"/>
        <v>-8.2316800381765582E-4</v>
      </c>
      <c r="AC26" s="136"/>
      <c r="AD26" s="136"/>
      <c r="AE26" s="136"/>
      <c r="AF26" s="136"/>
      <c r="AG26" s="136"/>
      <c r="AH26" s="136"/>
      <c r="AI26" s="136"/>
    </row>
    <row r="27" spans="1:35" x14ac:dyDescent="0.3">
      <c r="A27" s="1">
        <f t="shared" si="0"/>
        <v>27</v>
      </c>
      <c r="B27" s="31"/>
      <c r="C27" s="105">
        <v>140</v>
      </c>
      <c r="D27" s="106">
        <f t="shared" si="20"/>
        <v>50400</v>
      </c>
      <c r="E27" s="191">
        <f t="shared" si="8"/>
        <v>4251.1400000000003</v>
      </c>
      <c r="F27" s="135">
        <f t="shared" si="9"/>
        <v>6832.22</v>
      </c>
      <c r="G27" s="135">
        <f t="shared" si="21"/>
        <v>11083.36</v>
      </c>
      <c r="H27" s="136"/>
      <c r="I27" s="191">
        <f t="shared" si="10"/>
        <v>5184.04</v>
      </c>
      <c r="J27" s="135">
        <f t="shared" si="11"/>
        <v>6832.22</v>
      </c>
      <c r="K27" s="135">
        <f t="shared" si="22"/>
        <v>12016.26</v>
      </c>
      <c r="L27" s="136"/>
      <c r="M27" s="135">
        <f t="shared" si="23"/>
        <v>932.89999999999964</v>
      </c>
      <c r="N27" s="137">
        <f t="shared" si="24"/>
        <v>8.4171226054192916E-2</v>
      </c>
      <c r="O27" s="135"/>
      <c r="P27" s="191">
        <f t="shared" si="12"/>
        <v>5332.72</v>
      </c>
      <c r="Q27" s="135">
        <f t="shared" si="13"/>
        <v>6832.22</v>
      </c>
      <c r="R27" s="135">
        <f t="shared" si="25"/>
        <v>12164.94</v>
      </c>
      <c r="S27" s="136"/>
      <c r="T27" s="135">
        <f t="shared" si="14"/>
        <v>148.68000000000029</v>
      </c>
      <c r="U27" s="137">
        <f t="shared" si="15"/>
        <v>1.237323426756747E-2</v>
      </c>
      <c r="V27" s="135"/>
      <c r="W27" s="191">
        <f t="shared" si="19"/>
        <v>5322.64</v>
      </c>
      <c r="X27" s="135">
        <f t="shared" si="16"/>
        <v>6832.22</v>
      </c>
      <c r="Y27" s="135">
        <f t="shared" si="7"/>
        <v>12154.86</v>
      </c>
      <c r="Z27" s="136"/>
      <c r="AA27" s="135">
        <f t="shared" si="17"/>
        <v>-10.079999999999927</v>
      </c>
      <c r="AB27" s="137">
        <f t="shared" si="18"/>
        <v>-8.2861074530576613E-4</v>
      </c>
      <c r="AC27" s="136"/>
      <c r="AD27" s="136"/>
      <c r="AE27" s="136"/>
      <c r="AF27" s="136"/>
      <c r="AG27" s="136"/>
      <c r="AH27" s="136"/>
      <c r="AI27" s="136"/>
    </row>
    <row r="28" spans="1:35" x14ac:dyDescent="0.3">
      <c r="A28" s="1">
        <f t="shared" si="0"/>
        <v>28</v>
      </c>
      <c r="B28" s="31"/>
      <c r="C28" s="105">
        <v>170</v>
      </c>
      <c r="D28" s="106">
        <f t="shared" si="20"/>
        <v>61200</v>
      </c>
      <c r="E28" s="191">
        <f t="shared" si="8"/>
        <v>5082.8100000000004</v>
      </c>
      <c r="F28" s="135">
        <f>ROUND($G$80*$D28,2)</f>
        <v>8296.27</v>
      </c>
      <c r="G28" s="135">
        <f t="shared" si="21"/>
        <v>13379.080000000002</v>
      </c>
      <c r="H28" s="136"/>
      <c r="I28" s="191">
        <f>ROUND($I$77+$C28*$I$78+$D28*$I$79,2)</f>
        <v>6215.62</v>
      </c>
      <c r="J28" s="135">
        <f t="shared" si="11"/>
        <v>8296.27</v>
      </c>
      <c r="K28" s="135">
        <f t="shared" si="22"/>
        <v>14511.89</v>
      </c>
      <c r="L28" s="136"/>
      <c r="M28" s="135">
        <f t="shared" si="23"/>
        <v>1132.8099999999977</v>
      </c>
      <c r="N28" s="137">
        <f t="shared" si="24"/>
        <v>8.4670246384654063E-2</v>
      </c>
      <c r="O28" s="135"/>
      <c r="P28" s="191">
        <f>ROUND($J$77+$C28*$J$78+$D28*$J$79,2)</f>
        <v>6396.16</v>
      </c>
      <c r="Q28" s="135">
        <f t="shared" si="13"/>
        <v>8296.27</v>
      </c>
      <c r="R28" s="135">
        <f t="shared" si="25"/>
        <v>14692.43</v>
      </c>
      <c r="S28" s="136"/>
      <c r="T28" s="135">
        <f t="shared" si="14"/>
        <v>180.54000000000087</v>
      </c>
      <c r="U28" s="137">
        <f t="shared" si="15"/>
        <v>1.2440832999698928E-2</v>
      </c>
      <c r="V28" s="135"/>
      <c r="W28" s="191">
        <f t="shared" si="19"/>
        <v>6383.92</v>
      </c>
      <c r="X28" s="135">
        <f t="shared" si="16"/>
        <v>8296.27</v>
      </c>
      <c r="Y28" s="135">
        <f t="shared" si="7"/>
        <v>14680.19</v>
      </c>
      <c r="Z28" s="136"/>
      <c r="AA28" s="135">
        <f t="shared" si="17"/>
        <v>-12.239999999999782</v>
      </c>
      <c r="AB28" s="137">
        <f t="shared" si="18"/>
        <v>-8.3308207015447963E-4</v>
      </c>
      <c r="AC28" s="136"/>
      <c r="AD28" s="136"/>
      <c r="AE28" s="136"/>
      <c r="AF28" s="136"/>
      <c r="AG28" s="136"/>
      <c r="AH28" s="136"/>
      <c r="AI28" s="136"/>
    </row>
    <row r="29" spans="1:35" x14ac:dyDescent="0.3">
      <c r="A29" s="1">
        <f t="shared" si="0"/>
        <v>29</v>
      </c>
      <c r="B29" s="31"/>
      <c r="C29" s="105">
        <v>200</v>
      </c>
      <c r="D29" s="106">
        <f t="shared" si="20"/>
        <v>72000</v>
      </c>
      <c r="E29" s="191">
        <f>ROUND($G$77+$C29*$G$78+$D29*$G$79,2)</f>
        <v>5914.48</v>
      </c>
      <c r="F29" s="135">
        <f t="shared" si="9"/>
        <v>9760.32</v>
      </c>
      <c r="G29" s="135">
        <f t="shared" si="21"/>
        <v>15674.8</v>
      </c>
      <c r="H29" s="136"/>
      <c r="I29" s="191">
        <f t="shared" si="10"/>
        <v>7247.2</v>
      </c>
      <c r="J29" s="135">
        <f>ROUND($I$80*$D29,2)</f>
        <v>9760.32</v>
      </c>
      <c r="K29" s="135">
        <f t="shared" si="22"/>
        <v>17007.52</v>
      </c>
      <c r="L29" s="136"/>
      <c r="M29" s="135">
        <f t="shared" si="23"/>
        <v>1332.7200000000012</v>
      </c>
      <c r="N29" s="137">
        <f t="shared" si="24"/>
        <v>8.5023094393548965E-2</v>
      </c>
      <c r="O29" s="135"/>
      <c r="P29" s="191">
        <f t="shared" si="12"/>
        <v>7459.6</v>
      </c>
      <c r="Q29" s="135">
        <f t="shared" si="13"/>
        <v>9760.32</v>
      </c>
      <c r="R29" s="135">
        <f t="shared" si="25"/>
        <v>17219.919999999998</v>
      </c>
      <c r="S29" s="136"/>
      <c r="T29" s="135">
        <f t="shared" si="14"/>
        <v>212.39999999999782</v>
      </c>
      <c r="U29" s="137">
        <f t="shared" si="15"/>
        <v>1.2488593281089647E-2</v>
      </c>
      <c r="V29" s="135"/>
      <c r="W29" s="191">
        <f>ROUND($K$77+$C29*$K$78+$D29*$K$79,2)</f>
        <v>7445.2</v>
      </c>
      <c r="X29" s="135">
        <f>ROUND($K$80*$D29,2)</f>
        <v>9760.32</v>
      </c>
      <c r="Y29" s="135">
        <f t="shared" si="7"/>
        <v>17205.52</v>
      </c>
      <c r="Z29" s="136"/>
      <c r="AA29" s="135">
        <f t="shared" si="17"/>
        <v>-14.399999999997817</v>
      </c>
      <c r="AB29" s="137">
        <f t="shared" si="18"/>
        <v>-8.3624081877255055E-4</v>
      </c>
      <c r="AC29" s="136"/>
      <c r="AD29" s="136"/>
      <c r="AE29" s="136"/>
      <c r="AF29" s="136"/>
      <c r="AG29" s="136"/>
      <c r="AH29" s="136"/>
      <c r="AI29" s="136"/>
    </row>
    <row r="30" spans="1:35" x14ac:dyDescent="0.3">
      <c r="A30" s="1">
        <f t="shared" si="0"/>
        <v>30</v>
      </c>
      <c r="B30" s="31"/>
      <c r="C30" s="105">
        <v>270</v>
      </c>
      <c r="D30" s="106">
        <f t="shared" si="20"/>
        <v>97200</v>
      </c>
      <c r="E30" s="191">
        <f t="shared" si="8"/>
        <v>7855.05</v>
      </c>
      <c r="F30" s="135">
        <f t="shared" si="9"/>
        <v>13176.43</v>
      </c>
      <c r="G30" s="135">
        <f t="shared" si="21"/>
        <v>21031.48</v>
      </c>
      <c r="H30" s="136"/>
      <c r="I30" s="191">
        <f>ROUND($I$77+$C30*$I$78+$D30*$I$79,2)</f>
        <v>9654.2199999999993</v>
      </c>
      <c r="J30" s="135">
        <f>ROUND($I$80*$D30,2)</f>
        <v>13176.43</v>
      </c>
      <c r="K30" s="135">
        <f t="shared" si="22"/>
        <v>22830.65</v>
      </c>
      <c r="L30" s="136"/>
      <c r="M30" s="135">
        <f t="shared" si="23"/>
        <v>1799.1700000000019</v>
      </c>
      <c r="N30" s="137">
        <f t="shared" si="24"/>
        <v>8.5546523592253232E-2</v>
      </c>
      <c r="O30" s="135"/>
      <c r="P30" s="191">
        <f t="shared" si="12"/>
        <v>9940.9599999999991</v>
      </c>
      <c r="Q30" s="135">
        <f t="shared" si="13"/>
        <v>13176.43</v>
      </c>
      <c r="R30" s="135">
        <f t="shared" si="25"/>
        <v>23117.39</v>
      </c>
      <c r="S30" s="136"/>
      <c r="T30" s="135">
        <f t="shared" si="14"/>
        <v>286.73999999999796</v>
      </c>
      <c r="U30" s="137">
        <f t="shared" si="15"/>
        <v>1.2559432166845795E-2</v>
      </c>
      <c r="V30" s="135"/>
      <c r="W30" s="191">
        <f t="shared" si="19"/>
        <v>9921.52</v>
      </c>
      <c r="X30" s="135">
        <f t="shared" si="16"/>
        <v>13176.43</v>
      </c>
      <c r="Y30" s="135">
        <f t="shared" si="7"/>
        <v>23097.95</v>
      </c>
      <c r="Z30" s="136"/>
      <c r="AA30" s="135">
        <f t="shared" si="17"/>
        <v>-19.43999999999869</v>
      </c>
      <c r="AB30" s="137">
        <f t="shared" si="18"/>
        <v>-8.409253812821729E-4</v>
      </c>
      <c r="AC30" s="136"/>
      <c r="AD30" s="136"/>
      <c r="AE30" s="136"/>
      <c r="AF30" s="136"/>
      <c r="AG30" s="136"/>
      <c r="AH30" s="136"/>
      <c r="AI30" s="136"/>
    </row>
    <row r="31" spans="1:35" x14ac:dyDescent="0.3">
      <c r="A31" s="1">
        <f t="shared" si="0"/>
        <v>31</v>
      </c>
      <c r="B31" s="31"/>
      <c r="C31" s="105">
        <v>480</v>
      </c>
      <c r="D31" s="106">
        <f t="shared" si="20"/>
        <v>172800</v>
      </c>
      <c r="E31" s="191">
        <f t="shared" si="8"/>
        <v>13676.75</v>
      </c>
      <c r="F31" s="135">
        <f t="shared" si="9"/>
        <v>23424.77</v>
      </c>
      <c r="G31" s="135">
        <f t="shared" si="21"/>
        <v>37101.520000000004</v>
      </c>
      <c r="H31" s="136"/>
      <c r="I31" s="191">
        <f t="shared" si="10"/>
        <v>16875.28</v>
      </c>
      <c r="J31" s="135">
        <f t="shared" si="11"/>
        <v>23424.77</v>
      </c>
      <c r="K31" s="135">
        <f t="shared" si="22"/>
        <v>40300.050000000003</v>
      </c>
      <c r="L31" s="136"/>
      <c r="M31" s="135">
        <f t="shared" si="23"/>
        <v>3198.5299999999988</v>
      </c>
      <c r="N31" s="137">
        <f t="shared" si="24"/>
        <v>8.6210214568028437E-2</v>
      </c>
      <c r="O31" s="135"/>
      <c r="P31" s="191">
        <f t="shared" si="12"/>
        <v>17385.04</v>
      </c>
      <c r="Q31" s="135">
        <f t="shared" si="13"/>
        <v>23424.77</v>
      </c>
      <c r="R31" s="135">
        <f t="shared" si="25"/>
        <v>40809.81</v>
      </c>
      <c r="S31" s="136"/>
      <c r="T31" s="135">
        <f t="shared" si="14"/>
        <v>509.75999999999476</v>
      </c>
      <c r="U31" s="137">
        <f t="shared" si="15"/>
        <v>1.2649115819955427E-2</v>
      </c>
      <c r="V31" s="135"/>
      <c r="W31" s="191">
        <f t="shared" si="19"/>
        <v>17350.48</v>
      </c>
      <c r="X31" s="135">
        <f t="shared" si="16"/>
        <v>23424.77</v>
      </c>
      <c r="Y31" s="135">
        <f t="shared" si="7"/>
        <v>40775.25</v>
      </c>
      <c r="Z31" s="136"/>
      <c r="AA31" s="135">
        <f t="shared" si="17"/>
        <v>-34.559999999997672</v>
      </c>
      <c r="AB31" s="137">
        <f t="shared" si="18"/>
        <v>-8.4685520466764425E-4</v>
      </c>
      <c r="AC31" s="17"/>
      <c r="AD31" s="136"/>
      <c r="AE31" s="136"/>
      <c r="AF31" s="136"/>
      <c r="AG31" s="136"/>
      <c r="AH31" s="136"/>
      <c r="AI31" s="136"/>
    </row>
    <row r="32" spans="1:35" x14ac:dyDescent="0.3">
      <c r="A32" s="1">
        <f t="shared" si="0"/>
        <v>32</v>
      </c>
      <c r="B32" s="31" t="s">
        <v>52</v>
      </c>
      <c r="C32" s="106">
        <v>209</v>
      </c>
      <c r="D32" s="106">
        <f t="shared" si="20"/>
        <v>75240</v>
      </c>
      <c r="E32" s="191">
        <f t="shared" si="8"/>
        <v>6163.98</v>
      </c>
      <c r="F32" s="135">
        <f t="shared" si="9"/>
        <v>10199.530000000001</v>
      </c>
      <c r="G32" s="135">
        <f t="shared" si="21"/>
        <v>16363.51</v>
      </c>
      <c r="H32" s="136"/>
      <c r="I32" s="191">
        <f t="shared" si="10"/>
        <v>7556.67</v>
      </c>
      <c r="J32" s="135">
        <f t="shared" si="11"/>
        <v>10199.530000000001</v>
      </c>
      <c r="K32" s="135">
        <f t="shared" si="22"/>
        <v>17756.2</v>
      </c>
      <c r="L32" s="136"/>
      <c r="M32" s="135">
        <f t="shared" si="23"/>
        <v>1392.6900000000005</v>
      </c>
      <c r="N32" s="137">
        <f t="shared" si="24"/>
        <v>8.5109490567732746E-2</v>
      </c>
      <c r="O32" s="135"/>
      <c r="P32" s="191">
        <f t="shared" si="12"/>
        <v>7778.63</v>
      </c>
      <c r="Q32" s="135">
        <f t="shared" si="13"/>
        <v>10199.530000000001</v>
      </c>
      <c r="R32" s="135">
        <f t="shared" si="25"/>
        <v>17978.16</v>
      </c>
      <c r="S32" s="136"/>
      <c r="T32" s="135">
        <f t="shared" si="14"/>
        <v>221.95999999999913</v>
      </c>
      <c r="U32" s="137">
        <f t="shared" si="15"/>
        <v>1.2500422387672988E-2</v>
      </c>
      <c r="V32" s="135"/>
      <c r="W32" s="191">
        <f t="shared" si="19"/>
        <v>7763.58</v>
      </c>
      <c r="X32" s="135">
        <f t="shared" si="16"/>
        <v>10199.530000000001</v>
      </c>
      <c r="Y32" s="135">
        <f t="shared" si="7"/>
        <v>17963.11</v>
      </c>
      <c r="Z32" s="136"/>
      <c r="AA32" s="135">
        <f t="shared" si="17"/>
        <v>-15.049999999999272</v>
      </c>
      <c r="AB32" s="137">
        <f t="shared" si="18"/>
        <v>-8.371268249920611E-4</v>
      </c>
      <c r="AC32" s="17"/>
      <c r="AD32" s="136"/>
      <c r="AE32" s="136"/>
      <c r="AF32" s="136"/>
      <c r="AG32" s="136"/>
      <c r="AH32" s="136"/>
      <c r="AI32" s="136"/>
    </row>
    <row r="33" spans="1:35" x14ac:dyDescent="0.3">
      <c r="A33" s="1">
        <f t="shared" si="0"/>
        <v>33</v>
      </c>
      <c r="B33" s="31"/>
      <c r="C33" s="158"/>
      <c r="D33" s="158"/>
      <c r="E33" s="191"/>
      <c r="F33" s="135"/>
      <c r="G33" s="153"/>
      <c r="H33" s="159"/>
      <c r="I33" s="191"/>
      <c r="J33" s="135"/>
      <c r="K33" s="153"/>
      <c r="L33" s="159"/>
      <c r="M33" s="153"/>
      <c r="N33" s="160"/>
      <c r="O33" s="153"/>
      <c r="P33" s="191"/>
      <c r="Q33" s="135"/>
      <c r="R33" s="153"/>
      <c r="S33" s="159"/>
      <c r="T33" s="135"/>
      <c r="U33" s="137"/>
      <c r="V33" s="153"/>
      <c r="W33" s="191"/>
      <c r="X33" s="135"/>
      <c r="Y33" s="135"/>
      <c r="Z33" s="159"/>
      <c r="AA33" s="135"/>
      <c r="AB33" s="137"/>
      <c r="AC33" s="188"/>
    </row>
    <row r="34" spans="1:35" x14ac:dyDescent="0.3">
      <c r="A34" s="1">
        <f t="shared" si="0"/>
        <v>34</v>
      </c>
      <c r="B34" s="31"/>
      <c r="C34" s="164" t="s">
        <v>126</v>
      </c>
      <c r="D34" s="104">
        <v>490</v>
      </c>
      <c r="E34" s="191"/>
      <c r="F34" s="135"/>
      <c r="G34" s="136"/>
      <c r="H34" s="136"/>
      <c r="I34" s="191"/>
      <c r="J34" s="135"/>
      <c r="K34" s="136"/>
      <c r="L34" s="136"/>
      <c r="M34" s="136"/>
      <c r="N34" s="20"/>
      <c r="O34" s="136"/>
      <c r="P34" s="191"/>
      <c r="Q34" s="135"/>
      <c r="R34" s="136"/>
      <c r="S34" s="136"/>
      <c r="T34" s="135"/>
      <c r="U34" s="137"/>
      <c r="V34" s="136"/>
      <c r="W34" s="191"/>
      <c r="X34" s="135"/>
      <c r="Y34" s="135"/>
      <c r="Z34" s="136"/>
      <c r="AA34" s="135"/>
      <c r="AB34" s="137"/>
      <c r="AC34" s="188"/>
    </row>
    <row r="35" spans="1:35" x14ac:dyDescent="0.3">
      <c r="A35" s="1">
        <f t="shared" si="0"/>
        <v>35</v>
      </c>
      <c r="B35" s="31"/>
      <c r="C35" s="105">
        <v>75</v>
      </c>
      <c r="D35" s="106">
        <f>C35*$D$34</f>
        <v>36750</v>
      </c>
      <c r="E35" s="191">
        <f t="shared" si="8"/>
        <v>2762.06</v>
      </c>
      <c r="F35" s="135">
        <f t="shared" si="9"/>
        <v>4981.83</v>
      </c>
      <c r="G35" s="135">
        <f t="shared" ref="G35:G42" si="26">SUM(E35:F35)</f>
        <v>7743.8899999999994</v>
      </c>
      <c r="H35" s="136"/>
      <c r="I35" s="191">
        <f t="shared" si="10"/>
        <v>3442.3</v>
      </c>
      <c r="J35" s="135">
        <f t="shared" si="11"/>
        <v>4981.83</v>
      </c>
      <c r="K35" s="135">
        <f t="shared" ref="K35:K42" si="27">SUM(I35:J35)</f>
        <v>8424.130000000001</v>
      </c>
      <c r="L35" s="136"/>
      <c r="M35" s="135">
        <f t="shared" ref="M35:M42" si="28">+K35-G35</f>
        <v>680.2400000000016</v>
      </c>
      <c r="N35" s="137">
        <f t="shared" ref="N35:N42" si="29">+M35/G35</f>
        <v>8.7842156848819089E-2</v>
      </c>
      <c r="O35" s="135"/>
      <c r="P35" s="191">
        <f t="shared" si="12"/>
        <v>3550.71</v>
      </c>
      <c r="Q35" s="135">
        <f t="shared" si="13"/>
        <v>4981.83</v>
      </c>
      <c r="R35" s="135">
        <f t="shared" ref="R35:R42" si="30">SUM(P35:Q35)</f>
        <v>8532.5400000000009</v>
      </c>
      <c r="S35" s="136"/>
      <c r="T35" s="135">
        <f t="shared" si="14"/>
        <v>108.40999999999985</v>
      </c>
      <c r="U35" s="137">
        <f t="shared" si="15"/>
        <v>1.2868984690407181E-2</v>
      </c>
      <c r="V35" s="135"/>
      <c r="W35" s="191">
        <f t="shared" si="19"/>
        <v>3543.36</v>
      </c>
      <c r="X35" s="135">
        <f t="shared" si="16"/>
        <v>4981.83</v>
      </c>
      <c r="Y35" s="135">
        <f t="shared" si="7"/>
        <v>8525.19</v>
      </c>
      <c r="Z35" s="136"/>
      <c r="AA35" s="135">
        <f t="shared" si="17"/>
        <v>-7.3500000000003638</v>
      </c>
      <c r="AB35" s="137">
        <f t="shared" si="18"/>
        <v>-8.6140820904447718E-4</v>
      </c>
      <c r="AC35" s="17"/>
      <c r="AD35" s="136"/>
      <c r="AE35" s="136"/>
      <c r="AF35" s="136"/>
      <c r="AG35" s="136"/>
      <c r="AH35" s="136"/>
      <c r="AI35" s="136"/>
    </row>
    <row r="36" spans="1:35" x14ac:dyDescent="0.3">
      <c r="A36" s="1">
        <f t="shared" si="0"/>
        <v>36</v>
      </c>
      <c r="B36" s="31"/>
      <c r="C36" s="105">
        <v>110</v>
      </c>
      <c r="D36" s="106">
        <f t="shared" ref="D36:D42" si="31">C36*$D$34</f>
        <v>53900</v>
      </c>
      <c r="E36" s="191">
        <f t="shared" si="8"/>
        <v>3878.35</v>
      </c>
      <c r="F36" s="135">
        <f t="shared" si="9"/>
        <v>7306.68</v>
      </c>
      <c r="G36" s="135">
        <f t="shared" si="26"/>
        <v>11185.03</v>
      </c>
      <c r="H36" s="136"/>
      <c r="I36" s="191">
        <f t="shared" si="10"/>
        <v>4876.04</v>
      </c>
      <c r="J36" s="135">
        <f t="shared" si="11"/>
        <v>7306.68</v>
      </c>
      <c r="K36" s="135">
        <f t="shared" si="27"/>
        <v>12182.720000000001</v>
      </c>
      <c r="L36" s="136"/>
      <c r="M36" s="135">
        <f t="shared" si="28"/>
        <v>997.69000000000051</v>
      </c>
      <c r="N36" s="137">
        <f t="shared" si="29"/>
        <v>8.919868788908035E-2</v>
      </c>
      <c r="O36" s="135"/>
      <c r="P36" s="191">
        <f t="shared" si="12"/>
        <v>5035.05</v>
      </c>
      <c r="Q36" s="135">
        <f t="shared" si="13"/>
        <v>7306.68</v>
      </c>
      <c r="R36" s="135">
        <f t="shared" si="30"/>
        <v>12341.73</v>
      </c>
      <c r="S36" s="136"/>
      <c r="T36" s="135">
        <f t="shared" si="14"/>
        <v>159.0099999999984</v>
      </c>
      <c r="U36" s="137">
        <f t="shared" si="15"/>
        <v>1.305209345696186E-2</v>
      </c>
      <c r="V36" s="135"/>
      <c r="W36" s="191">
        <f t="shared" si="19"/>
        <v>5024.2700000000004</v>
      </c>
      <c r="X36" s="135">
        <f t="shared" si="16"/>
        <v>7306.68</v>
      </c>
      <c r="Y36" s="135">
        <f t="shared" si="7"/>
        <v>12330.95</v>
      </c>
      <c r="Z36" s="136"/>
      <c r="AA36" s="135">
        <f t="shared" si="17"/>
        <v>-10.779999999998836</v>
      </c>
      <c r="AB36" s="137">
        <f t="shared" si="18"/>
        <v>-8.7345939345609056E-4</v>
      </c>
      <c r="AC36" s="17"/>
      <c r="AD36" s="136"/>
      <c r="AE36" s="136"/>
      <c r="AF36" s="136"/>
      <c r="AG36" s="136"/>
      <c r="AH36" s="136"/>
      <c r="AI36" s="136"/>
    </row>
    <row r="37" spans="1:35" x14ac:dyDescent="0.3">
      <c r="A37" s="1">
        <f t="shared" si="0"/>
        <v>37</v>
      </c>
      <c r="B37" s="31"/>
      <c r="C37" s="105">
        <v>130</v>
      </c>
      <c r="D37" s="106">
        <f t="shared" si="31"/>
        <v>63700</v>
      </c>
      <c r="E37" s="191">
        <f t="shared" si="8"/>
        <v>4516.2299999999996</v>
      </c>
      <c r="F37" s="135">
        <f t="shared" si="9"/>
        <v>8635.17</v>
      </c>
      <c r="G37" s="135">
        <f t="shared" si="26"/>
        <v>13151.4</v>
      </c>
      <c r="H37" s="136"/>
      <c r="I37" s="191">
        <f>ROUND($I$77+$C37*$I$78+$D37*$I$79,2)</f>
        <v>5695.32</v>
      </c>
      <c r="J37" s="135">
        <f t="shared" si="11"/>
        <v>8635.17</v>
      </c>
      <c r="K37" s="135">
        <f t="shared" si="27"/>
        <v>14330.49</v>
      </c>
      <c r="L37" s="136"/>
      <c r="M37" s="135">
        <f t="shared" si="28"/>
        <v>1179.0900000000001</v>
      </c>
      <c r="N37" s="137">
        <f t="shared" si="29"/>
        <v>8.9655093754277118E-2</v>
      </c>
      <c r="O37" s="135"/>
      <c r="P37" s="191">
        <f>ROUND($J$77+$C37*$J$78+$D37*$J$79,2)</f>
        <v>5883.24</v>
      </c>
      <c r="Q37" s="135">
        <f t="shared" si="13"/>
        <v>8635.17</v>
      </c>
      <c r="R37" s="135">
        <f t="shared" si="30"/>
        <v>14518.41</v>
      </c>
      <c r="S37" s="136"/>
      <c r="T37" s="135">
        <f t="shared" si="14"/>
        <v>187.92000000000007</v>
      </c>
      <c r="U37" s="137">
        <f t="shared" si="15"/>
        <v>1.3113298986985098E-2</v>
      </c>
      <c r="V37" s="135"/>
      <c r="W37" s="191">
        <f t="shared" si="19"/>
        <v>5870.5</v>
      </c>
      <c r="X37" s="135">
        <f>ROUND($K$80*$D37,2)</f>
        <v>8635.17</v>
      </c>
      <c r="Y37" s="135">
        <f t="shared" si="7"/>
        <v>14505.67</v>
      </c>
      <c r="Z37" s="136"/>
      <c r="AA37" s="135">
        <f t="shared" si="17"/>
        <v>-12.739999999999782</v>
      </c>
      <c r="AB37" s="137">
        <f t="shared" si="18"/>
        <v>-8.7750655891380544E-4</v>
      </c>
      <c r="AC37" s="17"/>
      <c r="AD37" s="136"/>
      <c r="AE37" s="136"/>
      <c r="AF37" s="136"/>
      <c r="AG37" s="136"/>
      <c r="AH37" s="136"/>
      <c r="AI37" s="136"/>
    </row>
    <row r="38" spans="1:35" x14ac:dyDescent="0.3">
      <c r="A38" s="1">
        <f t="shared" si="0"/>
        <v>38</v>
      </c>
      <c r="B38" s="31"/>
      <c r="C38" s="105">
        <v>165</v>
      </c>
      <c r="D38" s="106">
        <f t="shared" si="31"/>
        <v>80850</v>
      </c>
      <c r="E38" s="191">
        <f t="shared" si="8"/>
        <v>5632.53</v>
      </c>
      <c r="F38" s="135">
        <f t="shared" si="9"/>
        <v>10960.03</v>
      </c>
      <c r="G38" s="135">
        <f t="shared" si="26"/>
        <v>16592.560000000001</v>
      </c>
      <c r="H38" s="136"/>
      <c r="I38" s="191">
        <f>ROUND($I$77+$C38*$I$78+$D38*$I$79,2)</f>
        <v>7129.06</v>
      </c>
      <c r="J38" s="135">
        <f t="shared" si="11"/>
        <v>10960.03</v>
      </c>
      <c r="K38" s="135">
        <f t="shared" si="27"/>
        <v>18089.09</v>
      </c>
      <c r="L38" s="136"/>
      <c r="M38" s="135">
        <f t="shared" si="28"/>
        <v>1496.5299999999988</v>
      </c>
      <c r="N38" s="137">
        <f t="shared" si="29"/>
        <v>9.0192833414494133E-2</v>
      </c>
      <c r="O38" s="135"/>
      <c r="P38" s="191">
        <f t="shared" si="12"/>
        <v>7367.57</v>
      </c>
      <c r="Q38" s="135">
        <f t="shared" si="13"/>
        <v>10960.03</v>
      </c>
      <c r="R38" s="135">
        <f t="shared" si="30"/>
        <v>18327.599999999999</v>
      </c>
      <c r="S38" s="136"/>
      <c r="T38" s="135">
        <f t="shared" si="14"/>
        <v>238.5099999999984</v>
      </c>
      <c r="U38" s="137">
        <f t="shared" si="15"/>
        <v>1.3185295667167248E-2</v>
      </c>
      <c r="V38" s="135"/>
      <c r="W38" s="191">
        <f t="shared" si="19"/>
        <v>7351.4</v>
      </c>
      <c r="X38" s="135">
        <f t="shared" si="16"/>
        <v>10960.03</v>
      </c>
      <c r="Y38" s="135">
        <f t="shared" si="7"/>
        <v>18311.43</v>
      </c>
      <c r="Z38" s="136"/>
      <c r="AA38" s="135">
        <f t="shared" si="17"/>
        <v>-16.169999999998254</v>
      </c>
      <c r="AB38" s="137">
        <f t="shared" si="18"/>
        <v>-8.8227591173957605E-4</v>
      </c>
      <c r="AC38" s="17"/>
      <c r="AD38" s="136"/>
      <c r="AE38" s="136"/>
      <c r="AF38" s="136"/>
      <c r="AG38" s="136"/>
      <c r="AH38" s="136"/>
      <c r="AI38" s="136"/>
    </row>
    <row r="39" spans="1:35" x14ac:dyDescent="0.3">
      <c r="A39" s="1">
        <f t="shared" si="0"/>
        <v>39</v>
      </c>
      <c r="B39" s="31"/>
      <c r="C39" s="105">
        <v>215</v>
      </c>
      <c r="D39" s="106">
        <f t="shared" si="31"/>
        <v>105350</v>
      </c>
      <c r="E39" s="191">
        <f>ROUND($G$77+$C39*$G$78+$D39*$G$79,2)</f>
        <v>7227.23</v>
      </c>
      <c r="F39" s="135">
        <f t="shared" si="9"/>
        <v>14281.25</v>
      </c>
      <c r="G39" s="135">
        <f t="shared" si="26"/>
        <v>21508.48</v>
      </c>
      <c r="H39" s="136"/>
      <c r="I39" s="191">
        <f t="shared" si="10"/>
        <v>9177.26</v>
      </c>
      <c r="J39" s="135">
        <f t="shared" si="11"/>
        <v>14281.25</v>
      </c>
      <c r="K39" s="135">
        <f t="shared" si="27"/>
        <v>23458.510000000002</v>
      </c>
      <c r="L39" s="136"/>
      <c r="M39" s="135">
        <f t="shared" si="28"/>
        <v>1950.0300000000025</v>
      </c>
      <c r="N39" s="137">
        <f t="shared" si="29"/>
        <v>9.0663310471032932E-2</v>
      </c>
      <c r="O39" s="135"/>
      <c r="P39" s="191">
        <f t="shared" si="12"/>
        <v>9488.0400000000009</v>
      </c>
      <c r="Q39" s="135">
        <f>ROUND($J$80*$D39,2)</f>
        <v>14281.25</v>
      </c>
      <c r="R39" s="135">
        <f t="shared" si="30"/>
        <v>23769.29</v>
      </c>
      <c r="S39" s="136"/>
      <c r="T39" s="135">
        <f t="shared" si="14"/>
        <v>310.77999999999884</v>
      </c>
      <c r="U39" s="137">
        <f t="shared" si="15"/>
        <v>1.324807074277091E-2</v>
      </c>
      <c r="V39" s="135"/>
      <c r="W39" s="191">
        <f t="shared" si="19"/>
        <v>9466.9699999999993</v>
      </c>
      <c r="X39" s="135">
        <f t="shared" si="16"/>
        <v>14281.25</v>
      </c>
      <c r="Y39" s="135">
        <f t="shared" si="7"/>
        <v>23748.22</v>
      </c>
      <c r="Z39" s="136"/>
      <c r="AA39" s="135">
        <f t="shared" si="17"/>
        <v>-21.069999999999709</v>
      </c>
      <c r="AB39" s="137">
        <f t="shared" si="18"/>
        <v>-8.8643792052685245E-4</v>
      </c>
      <c r="AC39" s="17"/>
      <c r="AD39" s="136"/>
      <c r="AE39" s="136"/>
      <c r="AF39" s="136"/>
      <c r="AG39" s="136"/>
      <c r="AH39" s="136"/>
      <c r="AI39" s="136"/>
    </row>
    <row r="40" spans="1:35" x14ac:dyDescent="0.3">
      <c r="A40" s="1">
        <f t="shared" si="0"/>
        <v>40</v>
      </c>
      <c r="B40" s="31"/>
      <c r="C40" s="105">
        <v>290</v>
      </c>
      <c r="D40" s="106">
        <f t="shared" si="31"/>
        <v>142100</v>
      </c>
      <c r="E40" s="191">
        <f t="shared" si="8"/>
        <v>9619.2900000000009</v>
      </c>
      <c r="F40" s="135">
        <f>ROUND($G$80*$D40,2)</f>
        <v>19263.080000000002</v>
      </c>
      <c r="G40" s="135">
        <f t="shared" si="26"/>
        <v>28882.370000000003</v>
      </c>
      <c r="H40" s="136"/>
      <c r="I40" s="191">
        <f t="shared" si="10"/>
        <v>12249.56</v>
      </c>
      <c r="J40" s="135">
        <f>ROUND($I$80*$D40,2)</f>
        <v>19263.080000000002</v>
      </c>
      <c r="K40" s="135">
        <f t="shared" si="27"/>
        <v>31512.639999999999</v>
      </c>
      <c r="L40" s="136"/>
      <c r="M40" s="135">
        <f t="shared" si="28"/>
        <v>2630.2699999999968</v>
      </c>
      <c r="N40" s="137">
        <f t="shared" si="29"/>
        <v>9.1068357617466872E-2</v>
      </c>
      <c r="O40" s="135"/>
      <c r="P40" s="191">
        <f t="shared" si="12"/>
        <v>12668.76</v>
      </c>
      <c r="Q40" s="135">
        <f t="shared" si="13"/>
        <v>19263.080000000002</v>
      </c>
      <c r="R40" s="135">
        <f t="shared" si="30"/>
        <v>31931.840000000004</v>
      </c>
      <c r="S40" s="136"/>
      <c r="T40" s="135">
        <f t="shared" si="14"/>
        <v>419.20000000000437</v>
      </c>
      <c r="U40" s="137">
        <f t="shared" si="15"/>
        <v>1.3302598576317451E-2</v>
      </c>
      <c r="V40" s="135"/>
      <c r="W40" s="191">
        <f>ROUND($K$77+$C40*$K$78+$D40*$K$79,2)</f>
        <v>12640.34</v>
      </c>
      <c r="X40" s="135">
        <f t="shared" si="16"/>
        <v>19263.080000000002</v>
      </c>
      <c r="Y40" s="135">
        <f t="shared" si="7"/>
        <v>31903.420000000002</v>
      </c>
      <c r="Z40" s="136"/>
      <c r="AA40" s="135">
        <f t="shared" si="17"/>
        <v>-28.420000000001892</v>
      </c>
      <c r="AB40" s="137">
        <f t="shared" si="18"/>
        <v>-8.9002074418517338E-4</v>
      </c>
      <c r="AC40" s="17"/>
      <c r="AD40" s="136"/>
      <c r="AE40" s="136"/>
      <c r="AF40" s="136"/>
      <c r="AG40" s="136"/>
      <c r="AH40" s="136"/>
      <c r="AI40" s="136"/>
    </row>
    <row r="41" spans="1:35" x14ac:dyDescent="0.3">
      <c r="A41" s="1">
        <f t="shared" si="0"/>
        <v>41</v>
      </c>
      <c r="B41" s="31"/>
      <c r="C41" s="105">
        <v>460</v>
      </c>
      <c r="D41" s="106">
        <f t="shared" si="31"/>
        <v>225400</v>
      </c>
      <c r="E41" s="191">
        <f t="shared" si="8"/>
        <v>15041.29</v>
      </c>
      <c r="F41" s="135">
        <f t="shared" si="9"/>
        <v>30555.22</v>
      </c>
      <c r="G41" s="135">
        <f t="shared" si="26"/>
        <v>45596.51</v>
      </c>
      <c r="H41" s="136"/>
      <c r="I41" s="191">
        <f t="shared" si="10"/>
        <v>19213.439999999999</v>
      </c>
      <c r="J41" s="135">
        <f>ROUND($I$80*$D41,2)</f>
        <v>30555.22</v>
      </c>
      <c r="K41" s="135">
        <f t="shared" si="27"/>
        <v>49768.66</v>
      </c>
      <c r="L41" s="136"/>
      <c r="M41" s="135">
        <f t="shared" si="28"/>
        <v>4172.1500000000015</v>
      </c>
      <c r="N41" s="137">
        <f t="shared" si="29"/>
        <v>9.150152062076683E-2</v>
      </c>
      <c r="O41" s="135"/>
      <c r="P41" s="191">
        <f>ROUND($J$77+$C41*$J$78+$D41*$J$79,2)</f>
        <v>19878.37</v>
      </c>
      <c r="Q41" s="135">
        <f t="shared" si="13"/>
        <v>30555.22</v>
      </c>
      <c r="R41" s="135">
        <f t="shared" si="30"/>
        <v>50433.59</v>
      </c>
      <c r="S41" s="136"/>
      <c r="T41" s="135">
        <f t="shared" si="14"/>
        <v>664.92999999999302</v>
      </c>
      <c r="U41" s="137">
        <f t="shared" si="15"/>
        <v>1.3360415972621987E-2</v>
      </c>
      <c r="V41" s="135"/>
      <c r="W41" s="191">
        <f t="shared" si="19"/>
        <v>19833.29</v>
      </c>
      <c r="X41" s="135">
        <f t="shared" si="16"/>
        <v>30555.22</v>
      </c>
      <c r="Y41" s="135">
        <f t="shared" si="7"/>
        <v>50388.51</v>
      </c>
      <c r="Z41" s="136"/>
      <c r="AA41" s="135">
        <f t="shared" si="17"/>
        <v>-45.07999999999447</v>
      </c>
      <c r="AB41" s="137">
        <f t="shared" si="18"/>
        <v>-8.9384872264684063E-4</v>
      </c>
      <c r="AC41" s="17"/>
      <c r="AD41" s="136"/>
      <c r="AE41" s="136"/>
      <c r="AF41" s="136"/>
      <c r="AG41" s="136"/>
      <c r="AH41" s="136"/>
      <c r="AI41" s="136"/>
    </row>
    <row r="42" spans="1:35" x14ac:dyDescent="0.3">
      <c r="A42" s="1">
        <f t="shared" si="0"/>
        <v>42</v>
      </c>
      <c r="B42" s="31" t="s">
        <v>52</v>
      </c>
      <c r="C42" s="106">
        <v>207</v>
      </c>
      <c r="D42" s="106">
        <f t="shared" si="31"/>
        <v>101430</v>
      </c>
      <c r="E42" s="191">
        <f t="shared" si="8"/>
        <v>6972.08</v>
      </c>
      <c r="F42" s="135">
        <f t="shared" si="9"/>
        <v>13749.85</v>
      </c>
      <c r="G42" s="135">
        <f t="shared" si="26"/>
        <v>20721.93</v>
      </c>
      <c r="H42" s="136"/>
      <c r="I42" s="191">
        <f t="shared" si="10"/>
        <v>8849.5499999999993</v>
      </c>
      <c r="J42" s="135">
        <f t="shared" si="11"/>
        <v>13749.85</v>
      </c>
      <c r="K42" s="135">
        <f t="shared" si="27"/>
        <v>22599.4</v>
      </c>
      <c r="L42" s="136"/>
      <c r="M42" s="135">
        <f t="shared" si="28"/>
        <v>1877.4700000000012</v>
      </c>
      <c r="N42" s="137">
        <f t="shared" si="29"/>
        <v>9.0603047109994159E-2</v>
      </c>
      <c r="O42" s="135"/>
      <c r="P42" s="191">
        <f t="shared" si="12"/>
        <v>9148.77</v>
      </c>
      <c r="Q42" s="135">
        <f t="shared" si="13"/>
        <v>13749.85</v>
      </c>
      <c r="R42" s="135">
        <f t="shared" si="30"/>
        <v>22898.620000000003</v>
      </c>
      <c r="S42" s="136"/>
      <c r="T42" s="135">
        <f t="shared" si="14"/>
        <v>299.22000000000116</v>
      </c>
      <c r="U42" s="137">
        <f t="shared" si="15"/>
        <v>1.3240174517907606E-2</v>
      </c>
      <c r="V42" s="135"/>
      <c r="W42" s="191">
        <f t="shared" si="19"/>
        <v>9128.48</v>
      </c>
      <c r="X42" s="135">
        <f t="shared" si="16"/>
        <v>13749.85</v>
      </c>
      <c r="Y42" s="135">
        <f t="shared" si="7"/>
        <v>22878.33</v>
      </c>
      <c r="Z42" s="136"/>
      <c r="AA42" s="135">
        <f t="shared" si="17"/>
        <v>-20.290000000000873</v>
      </c>
      <c r="AB42" s="137">
        <f t="shared" si="18"/>
        <v>-8.8607959780986239E-4</v>
      </c>
      <c r="AC42" s="17"/>
      <c r="AD42" s="136"/>
      <c r="AE42" s="136"/>
      <c r="AF42" s="136"/>
      <c r="AG42" s="136"/>
      <c r="AH42" s="136"/>
      <c r="AI42" s="136"/>
    </row>
    <row r="43" spans="1:35" x14ac:dyDescent="0.3">
      <c r="A43" s="1">
        <f t="shared" si="0"/>
        <v>43</v>
      </c>
      <c r="B43" s="31"/>
      <c r="C43" s="152"/>
      <c r="D43" s="152"/>
      <c r="E43" s="153"/>
      <c r="F43" s="153"/>
      <c r="G43" s="153"/>
      <c r="H43" s="159"/>
      <c r="I43" s="153"/>
      <c r="J43" s="153"/>
      <c r="K43" s="153"/>
      <c r="L43" s="159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60"/>
    </row>
    <row r="44" spans="1:35" x14ac:dyDescent="0.3">
      <c r="A44" s="1">
        <f t="shared" si="0"/>
        <v>44</v>
      </c>
      <c r="B44" s="31"/>
      <c r="D44" s="105"/>
      <c r="E44" s="135"/>
      <c r="F44" s="135"/>
      <c r="G44" s="135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</row>
    <row r="45" spans="1:35" x14ac:dyDescent="0.3">
      <c r="A45" s="1">
        <f t="shared" si="0"/>
        <v>45</v>
      </c>
      <c r="B45" s="31"/>
      <c r="C45" s="44" t="s">
        <v>53</v>
      </c>
      <c r="D45" s="44"/>
      <c r="E45" s="136"/>
      <c r="F45" s="136"/>
      <c r="G45" s="45">
        <f>'EMA R1'!H28</f>
        <v>2024</v>
      </c>
      <c r="I45" s="45">
        <f>'EMA R1'!I28</f>
        <v>2025</v>
      </c>
      <c r="J45" s="45">
        <f>'EMA R1'!J28</f>
        <v>2026</v>
      </c>
      <c r="K45" s="45">
        <f>'EMA R1'!L28</f>
        <v>2027</v>
      </c>
      <c r="M45" s="45" t="str">
        <f>'EMA R1'!M28</f>
        <v>2025 v 2024</v>
      </c>
      <c r="N45" s="45" t="str">
        <f>'EMA R1'!O28</f>
        <v>2026 v 2025</v>
      </c>
      <c r="P45" s="45" t="str">
        <f>'EMA R1'!P28</f>
        <v>2027 v 2026</v>
      </c>
      <c r="Q45" s="136"/>
      <c r="R45" s="136"/>
      <c r="S45" s="136"/>
      <c r="T45" s="136"/>
      <c r="U45" s="136"/>
      <c r="V45" s="136"/>
      <c r="W45" s="136"/>
    </row>
    <row r="46" spans="1:35" ht="15.5" x14ac:dyDescent="0.45">
      <c r="A46" s="1">
        <f t="shared" si="0"/>
        <v>46</v>
      </c>
      <c r="B46" s="31"/>
      <c r="C46" s="23" t="s">
        <v>53</v>
      </c>
      <c r="D46" s="23"/>
      <c r="E46" s="136"/>
      <c r="F46" s="136"/>
      <c r="G46" s="47" t="str">
        <f>+'BOS G2 NEMA'!G55</f>
        <v>Rates</v>
      </c>
      <c r="H46" s="116"/>
      <c r="I46" s="47" t="s">
        <v>57</v>
      </c>
      <c r="J46" s="47" t="s">
        <v>57</v>
      </c>
      <c r="K46" s="47" t="s">
        <v>57</v>
      </c>
      <c r="L46" s="37"/>
      <c r="M46" s="48" t="s">
        <v>51</v>
      </c>
      <c r="N46" s="48" t="s">
        <v>51</v>
      </c>
      <c r="O46" s="22"/>
      <c r="P46" s="48" t="s">
        <v>51</v>
      </c>
      <c r="Q46" s="136"/>
      <c r="R46" s="136"/>
      <c r="S46" s="136"/>
      <c r="T46" s="136"/>
      <c r="U46" s="136"/>
      <c r="V46" s="136"/>
      <c r="W46" s="136"/>
    </row>
    <row r="47" spans="1:35" x14ac:dyDescent="0.3">
      <c r="A47" s="1">
        <f t="shared" si="0"/>
        <v>47</v>
      </c>
      <c r="B47" s="31"/>
      <c r="C47" s="44" t="s">
        <v>58</v>
      </c>
      <c r="D47" s="44"/>
      <c r="E47" s="86"/>
      <c r="F47" s="136"/>
      <c r="G47" s="88">
        <v>370</v>
      </c>
      <c r="H47" s="88"/>
      <c r="I47" s="88">
        <f>G47</f>
        <v>370</v>
      </c>
      <c r="J47" s="88">
        <f>G47</f>
        <v>370</v>
      </c>
      <c r="K47" s="88">
        <f>G47</f>
        <v>370</v>
      </c>
      <c r="L47" s="88"/>
      <c r="M47" s="50">
        <f>+I47-G47</f>
        <v>0</v>
      </c>
      <c r="N47" s="50">
        <f>+J47-I47</f>
        <v>0</v>
      </c>
      <c r="O47" s="50"/>
      <c r="P47" s="50">
        <f>+K47-J47</f>
        <v>0</v>
      </c>
      <c r="Q47" s="51" t="s">
        <v>59</v>
      </c>
      <c r="R47" s="136"/>
      <c r="S47" s="136"/>
      <c r="T47" s="136"/>
      <c r="U47" s="136"/>
      <c r="V47" s="136"/>
    </row>
    <row r="48" spans="1:35" x14ac:dyDescent="0.3">
      <c r="A48" s="1">
        <f t="shared" si="0"/>
        <v>48</v>
      </c>
      <c r="B48" s="31"/>
      <c r="C48" s="44" t="s">
        <v>146</v>
      </c>
      <c r="D48" s="44"/>
      <c r="E48" s="86"/>
      <c r="F48" s="136"/>
      <c r="G48" s="88">
        <v>3.36</v>
      </c>
      <c r="H48" s="88"/>
      <c r="I48" s="88">
        <f t="shared" ref="I48:I75" si="32">G48</f>
        <v>3.36</v>
      </c>
      <c r="J48" s="88">
        <f t="shared" ref="J48:J75" si="33">G48</f>
        <v>3.36</v>
      </c>
      <c r="K48" s="88">
        <f t="shared" ref="K48:K75" si="34">G48</f>
        <v>3.36</v>
      </c>
      <c r="L48" s="88"/>
      <c r="M48" s="50">
        <f t="shared" ref="M48:M75" si="35">+I48-G48</f>
        <v>0</v>
      </c>
      <c r="N48" s="50">
        <f t="shared" ref="N48:N75" si="36">+J48-I48</f>
        <v>0</v>
      </c>
      <c r="O48" s="50"/>
      <c r="P48" s="50">
        <f t="shared" ref="P48:P75" si="37">+K48-J48</f>
        <v>0</v>
      </c>
      <c r="Q48" s="51" t="s">
        <v>59</v>
      </c>
      <c r="R48" s="136"/>
      <c r="S48" s="136"/>
      <c r="T48" s="136"/>
      <c r="U48" s="136"/>
      <c r="V48" s="136"/>
    </row>
    <row r="49" spans="1:22" x14ac:dyDescent="0.3">
      <c r="A49" s="1">
        <f t="shared" si="0"/>
        <v>49</v>
      </c>
      <c r="B49" s="31"/>
      <c r="C49" s="44" t="s">
        <v>60</v>
      </c>
      <c r="D49" s="44"/>
      <c r="E49" s="86"/>
      <c r="F49" s="136"/>
      <c r="G49" s="91">
        <v>1.4109999999999999E-2</v>
      </c>
      <c r="H49" s="92"/>
      <c r="I49" s="91">
        <f t="shared" si="32"/>
        <v>1.4109999999999999E-2</v>
      </c>
      <c r="J49" s="91">
        <f t="shared" si="33"/>
        <v>1.4109999999999999E-2</v>
      </c>
      <c r="K49" s="91">
        <f t="shared" si="34"/>
        <v>1.4109999999999999E-2</v>
      </c>
      <c r="L49" s="91"/>
      <c r="M49" s="54">
        <f t="shared" si="35"/>
        <v>0</v>
      </c>
      <c r="N49" s="54">
        <f t="shared" si="36"/>
        <v>0</v>
      </c>
      <c r="O49" s="54"/>
      <c r="P49" s="54">
        <f t="shared" si="37"/>
        <v>0</v>
      </c>
      <c r="Q49" s="51" t="s">
        <v>59</v>
      </c>
      <c r="R49" s="136"/>
      <c r="S49" s="136"/>
      <c r="T49" s="136"/>
      <c r="U49" s="136"/>
      <c r="V49" s="136"/>
    </row>
    <row r="50" spans="1:22" x14ac:dyDescent="0.3">
      <c r="A50" s="1">
        <f t="shared" si="0"/>
        <v>50</v>
      </c>
      <c r="B50" s="31"/>
      <c r="C50" s="44" t="str">
        <f>+'BOS G2 NEMA'!C62</f>
        <v>Exogenous Cost Adjustment</v>
      </c>
      <c r="D50" s="44"/>
      <c r="E50" s="86"/>
      <c r="F50" s="136"/>
      <c r="G50" s="91">
        <v>5.5999999999999995E-4</v>
      </c>
      <c r="H50" s="176"/>
      <c r="I50" s="91">
        <f t="shared" si="32"/>
        <v>5.5999999999999995E-4</v>
      </c>
      <c r="J50" s="91">
        <f t="shared" si="33"/>
        <v>5.5999999999999995E-4</v>
      </c>
      <c r="K50" s="91">
        <f t="shared" si="34"/>
        <v>5.5999999999999995E-4</v>
      </c>
      <c r="L50" s="91"/>
      <c r="M50" s="54">
        <f t="shared" si="35"/>
        <v>0</v>
      </c>
      <c r="N50" s="54">
        <f t="shared" si="36"/>
        <v>0</v>
      </c>
      <c r="O50" s="54"/>
      <c r="P50" s="54">
        <f t="shared" si="37"/>
        <v>0</v>
      </c>
      <c r="Q50" s="51" t="str">
        <f>+'BOS G2 NEMA'!Q62</f>
        <v>ECA</v>
      </c>
      <c r="R50" s="136"/>
      <c r="S50" s="136"/>
      <c r="T50" s="136"/>
      <c r="U50" s="136"/>
      <c r="V50" s="136"/>
    </row>
    <row r="51" spans="1:22" x14ac:dyDescent="0.3">
      <c r="A51" s="1">
        <f t="shared" si="0"/>
        <v>51</v>
      </c>
      <c r="B51" s="31"/>
      <c r="C51" s="44" t="str">
        <f>+'BOS G2 NEMA'!C63</f>
        <v>Revenue Decoupling</v>
      </c>
      <c r="D51" s="44"/>
      <c r="E51" s="86"/>
      <c r="F51" s="136"/>
      <c r="G51" s="91">
        <v>3.0000000000000001E-5</v>
      </c>
      <c r="H51" s="92"/>
      <c r="I51" s="91">
        <f t="shared" si="32"/>
        <v>3.0000000000000001E-5</v>
      </c>
      <c r="J51" s="91">
        <f t="shared" si="33"/>
        <v>3.0000000000000001E-5</v>
      </c>
      <c r="K51" s="91">
        <f t="shared" si="34"/>
        <v>3.0000000000000001E-5</v>
      </c>
      <c r="L51" s="91"/>
      <c r="M51" s="54">
        <f t="shared" si="35"/>
        <v>0</v>
      </c>
      <c r="N51" s="54">
        <f t="shared" si="36"/>
        <v>0</v>
      </c>
      <c r="O51" s="54"/>
      <c r="P51" s="54">
        <f t="shared" si="37"/>
        <v>0</v>
      </c>
      <c r="Q51" s="51" t="str">
        <f>+'BOS G2 NEMA'!Q63</f>
        <v>RDAF</v>
      </c>
      <c r="R51" s="136"/>
      <c r="S51" s="136"/>
      <c r="T51" s="136"/>
      <c r="U51" s="136"/>
      <c r="V51" s="136"/>
    </row>
    <row r="52" spans="1:22" x14ac:dyDescent="0.3">
      <c r="A52" s="1">
        <f t="shared" si="0"/>
        <v>52</v>
      </c>
      <c r="B52" s="31"/>
      <c r="C52" s="44" t="str">
        <f>+'BOS G2 NEMA'!C64</f>
        <v>Distributed Solar Charge</v>
      </c>
      <c r="D52" s="44"/>
      <c r="E52" s="86"/>
      <c r="F52" s="136"/>
      <c r="G52" s="91">
        <v>4.4099999999999999E-3</v>
      </c>
      <c r="H52" s="92"/>
      <c r="I52" s="91">
        <f t="shared" si="32"/>
        <v>4.4099999999999999E-3</v>
      </c>
      <c r="J52" s="91">
        <f t="shared" si="33"/>
        <v>4.4099999999999999E-3</v>
      </c>
      <c r="K52" s="91">
        <f t="shared" si="34"/>
        <v>4.4099999999999999E-3</v>
      </c>
      <c r="L52" s="91"/>
      <c r="M52" s="54">
        <f t="shared" si="35"/>
        <v>0</v>
      </c>
      <c r="N52" s="54">
        <f t="shared" si="36"/>
        <v>0</v>
      </c>
      <c r="O52" s="54"/>
      <c r="P52" s="54">
        <f t="shared" si="37"/>
        <v>0</v>
      </c>
      <c r="Q52" s="51" t="str">
        <f>+'BOS G2 NEMA'!Q64</f>
        <v>SMART</v>
      </c>
      <c r="R52" s="136"/>
      <c r="S52" s="136"/>
      <c r="T52" s="136"/>
      <c r="U52" s="136"/>
      <c r="V52" s="136"/>
    </row>
    <row r="53" spans="1:22" x14ac:dyDescent="0.3">
      <c r="A53" s="1">
        <f t="shared" si="0"/>
        <v>53</v>
      </c>
      <c r="B53" s="31"/>
      <c r="C53" s="44" t="str">
        <f>+'BOS G2 NEMA'!C65</f>
        <v>Residential Assistance Adjustment Factor</v>
      </c>
      <c r="D53" s="44"/>
      <c r="E53" s="86"/>
      <c r="F53" s="136"/>
      <c r="G53" s="53">
        <v>4.4999999999999997E-3</v>
      </c>
      <c r="H53" s="92"/>
      <c r="I53" s="53">
        <f t="shared" si="32"/>
        <v>4.4999999999999997E-3</v>
      </c>
      <c r="J53" s="53">
        <f t="shared" si="33"/>
        <v>4.4999999999999997E-3</v>
      </c>
      <c r="K53" s="53">
        <f t="shared" si="34"/>
        <v>4.4999999999999997E-3</v>
      </c>
      <c r="L53" s="53"/>
      <c r="M53" s="54">
        <f t="shared" si="35"/>
        <v>0</v>
      </c>
      <c r="N53" s="54">
        <f t="shared" si="36"/>
        <v>0</v>
      </c>
      <c r="O53" s="54"/>
      <c r="P53" s="54">
        <f t="shared" si="37"/>
        <v>0</v>
      </c>
      <c r="Q53" s="51" t="str">
        <f>+'BOS G2 NEMA'!Q65</f>
        <v>RAAF</v>
      </c>
      <c r="R53" s="136"/>
      <c r="S53" s="136"/>
      <c r="T53" s="136"/>
      <c r="U53" s="136"/>
      <c r="V53" s="136"/>
    </row>
    <row r="54" spans="1:22" x14ac:dyDescent="0.3">
      <c r="A54" s="1">
        <f t="shared" si="0"/>
        <v>54</v>
      </c>
      <c r="B54" s="31"/>
      <c r="C54" s="44" t="str">
        <f>+'BOS G2 NEMA'!C66</f>
        <v>Pension Adjustment Factor</v>
      </c>
      <c r="D54" s="44"/>
      <c r="E54" s="86"/>
      <c r="F54" s="136"/>
      <c r="G54" s="53">
        <v>3.6999999999999999E-4</v>
      </c>
      <c r="H54" s="92"/>
      <c r="I54" s="53">
        <f t="shared" si="32"/>
        <v>3.6999999999999999E-4</v>
      </c>
      <c r="J54" s="53">
        <f t="shared" si="33"/>
        <v>3.6999999999999999E-4</v>
      </c>
      <c r="K54" s="53">
        <f t="shared" si="34"/>
        <v>3.6999999999999999E-4</v>
      </c>
      <c r="L54" s="53"/>
      <c r="M54" s="54">
        <f t="shared" si="35"/>
        <v>0</v>
      </c>
      <c r="N54" s="54">
        <f t="shared" si="36"/>
        <v>0</v>
      </c>
      <c r="O54" s="54"/>
      <c r="P54" s="54">
        <f t="shared" si="37"/>
        <v>0</v>
      </c>
      <c r="Q54" s="51" t="str">
        <f>+'BOS G2 NEMA'!Q66</f>
        <v>PAF</v>
      </c>
      <c r="R54" s="136"/>
      <c r="S54" s="136"/>
      <c r="T54" s="136"/>
      <c r="U54" s="136"/>
      <c r="V54" s="136"/>
    </row>
    <row r="55" spans="1:22" x14ac:dyDescent="0.3">
      <c r="A55" s="1">
        <f t="shared" si="0"/>
        <v>55</v>
      </c>
      <c r="B55" s="31"/>
      <c r="C55" s="44" t="str">
        <f>+'BOS G2 NEMA'!C67</f>
        <v>Net Metering Recovery Surcharge</v>
      </c>
      <c r="D55" s="44"/>
      <c r="E55" s="86"/>
      <c r="F55" s="136"/>
      <c r="G55" s="91">
        <v>8.94E-3</v>
      </c>
      <c r="H55" s="92"/>
      <c r="I55" s="91">
        <f t="shared" si="32"/>
        <v>8.94E-3</v>
      </c>
      <c r="J55" s="91">
        <f t="shared" si="33"/>
        <v>8.94E-3</v>
      </c>
      <c r="K55" s="91">
        <f t="shared" si="34"/>
        <v>8.94E-3</v>
      </c>
      <c r="L55" s="91"/>
      <c r="M55" s="54">
        <f t="shared" si="35"/>
        <v>0</v>
      </c>
      <c r="N55" s="54">
        <f t="shared" si="36"/>
        <v>0</v>
      </c>
      <c r="O55" s="54"/>
      <c r="P55" s="54">
        <f t="shared" si="37"/>
        <v>0</v>
      </c>
      <c r="Q55" s="51" t="str">
        <f>+'BOS G2 NEMA'!Q67</f>
        <v>NMRS</v>
      </c>
      <c r="R55" s="136"/>
      <c r="S55" s="136"/>
      <c r="T55" s="136"/>
      <c r="U55" s="136"/>
      <c r="V55" s="136"/>
    </row>
    <row r="56" spans="1:22" x14ac:dyDescent="0.3">
      <c r="A56" s="1">
        <f t="shared" si="0"/>
        <v>56</v>
      </c>
      <c r="B56" s="31"/>
      <c r="C56" s="44" t="str">
        <f>+'BOS G2 NEMA'!C68</f>
        <v>Long Term Renewable Contract Adjustment</v>
      </c>
      <c r="D56" s="44"/>
      <c r="E56" s="86"/>
      <c r="F56" s="136"/>
      <c r="G56" s="53">
        <v>-1.9300000000000001E-3</v>
      </c>
      <c r="H56" s="92"/>
      <c r="I56" s="53">
        <f t="shared" si="32"/>
        <v>-1.9300000000000001E-3</v>
      </c>
      <c r="J56" s="53">
        <f t="shared" si="33"/>
        <v>-1.9300000000000001E-3</v>
      </c>
      <c r="K56" s="53">
        <f t="shared" si="34"/>
        <v>-1.9300000000000001E-3</v>
      </c>
      <c r="L56" s="53"/>
      <c r="M56" s="54">
        <f t="shared" si="35"/>
        <v>0</v>
      </c>
      <c r="N56" s="54">
        <f t="shared" si="36"/>
        <v>0</v>
      </c>
      <c r="O56" s="54"/>
      <c r="P56" s="54">
        <f t="shared" si="37"/>
        <v>0</v>
      </c>
      <c r="Q56" s="51" t="str">
        <f>+'BOS G2 NEMA'!Q68</f>
        <v>LTRCA</v>
      </c>
      <c r="R56" s="136"/>
      <c r="S56" s="136"/>
      <c r="T56" s="136"/>
      <c r="U56" s="136"/>
      <c r="V56" s="136"/>
    </row>
    <row r="57" spans="1:22" x14ac:dyDescent="0.3">
      <c r="A57" s="1">
        <f t="shared" si="0"/>
        <v>57</v>
      </c>
      <c r="B57" s="31"/>
      <c r="C57" s="44" t="str">
        <f>+'BOS G2 NEMA'!C69</f>
        <v>AG Consulting Expense</v>
      </c>
      <c r="D57" s="44"/>
      <c r="E57" s="86"/>
      <c r="F57" s="136"/>
      <c r="G57" s="53">
        <v>3.0000000000000001E-5</v>
      </c>
      <c r="H57" s="92"/>
      <c r="I57" s="53">
        <f t="shared" si="32"/>
        <v>3.0000000000000001E-5</v>
      </c>
      <c r="J57" s="53">
        <f t="shared" si="33"/>
        <v>3.0000000000000001E-5</v>
      </c>
      <c r="K57" s="53">
        <f t="shared" si="34"/>
        <v>3.0000000000000001E-5</v>
      </c>
      <c r="L57" s="53"/>
      <c r="M57" s="54">
        <f t="shared" si="35"/>
        <v>0</v>
      </c>
      <c r="N57" s="54">
        <f t="shared" si="36"/>
        <v>0</v>
      </c>
      <c r="O57" s="54"/>
      <c r="P57" s="54">
        <f t="shared" si="37"/>
        <v>0</v>
      </c>
      <c r="Q57" s="51" t="str">
        <f>+'BOS G2 NEMA'!Q69</f>
        <v>AGCE</v>
      </c>
      <c r="R57" s="136"/>
      <c r="S57" s="136"/>
      <c r="T57" s="136"/>
      <c r="U57" s="136"/>
      <c r="V57" s="136"/>
    </row>
    <row r="58" spans="1:22" x14ac:dyDescent="0.3">
      <c r="A58" s="1">
        <f t="shared" si="0"/>
        <v>58</v>
      </c>
      <c r="B58" s="31"/>
      <c r="C58" s="44" t="str">
        <f>+'BOS G2 NEMA'!C70</f>
        <v>Storm Cost Recovery Adjustment Factor</v>
      </c>
      <c r="D58" s="44"/>
      <c r="E58" s="86"/>
      <c r="F58" s="136"/>
      <c r="G58" s="53">
        <v>3.65E-3</v>
      </c>
      <c r="H58" s="92"/>
      <c r="I58" s="53">
        <f t="shared" si="32"/>
        <v>3.65E-3</v>
      </c>
      <c r="J58" s="53">
        <f t="shared" si="33"/>
        <v>3.65E-3</v>
      </c>
      <c r="K58" s="53">
        <f t="shared" si="34"/>
        <v>3.65E-3</v>
      </c>
      <c r="L58" s="53"/>
      <c r="M58" s="54">
        <f t="shared" si="35"/>
        <v>0</v>
      </c>
      <c r="N58" s="54">
        <f t="shared" si="36"/>
        <v>0</v>
      </c>
      <c r="O58" s="54"/>
      <c r="P58" s="54">
        <f t="shared" si="37"/>
        <v>0</v>
      </c>
      <c r="Q58" s="51" t="str">
        <f>+'BOS G2 NEMA'!Q70</f>
        <v>SCRA</v>
      </c>
      <c r="R58" s="136"/>
      <c r="S58" s="136"/>
      <c r="T58" s="136"/>
      <c r="U58" s="136"/>
      <c r="V58" s="136"/>
    </row>
    <row r="59" spans="1:22" x14ac:dyDescent="0.3">
      <c r="A59" s="1">
        <f t="shared" si="0"/>
        <v>59</v>
      </c>
      <c r="B59" s="31"/>
      <c r="C59" s="44" t="str">
        <f>+'BOS G2 NEMA'!C71</f>
        <v>Storm Reserve Adjustment</v>
      </c>
      <c r="D59" s="44"/>
      <c r="E59" s="86"/>
      <c r="F59" s="136"/>
      <c r="G59" s="53">
        <v>0</v>
      </c>
      <c r="H59" s="92"/>
      <c r="I59" s="53">
        <f t="shared" si="32"/>
        <v>0</v>
      </c>
      <c r="J59" s="53">
        <f t="shared" si="33"/>
        <v>0</v>
      </c>
      <c r="K59" s="53">
        <f t="shared" si="34"/>
        <v>0</v>
      </c>
      <c r="L59" s="53"/>
      <c r="M59" s="54">
        <f t="shared" si="35"/>
        <v>0</v>
      </c>
      <c r="N59" s="54">
        <f t="shared" si="36"/>
        <v>0</v>
      </c>
      <c r="O59" s="54"/>
      <c r="P59" s="54">
        <f t="shared" si="37"/>
        <v>0</v>
      </c>
      <c r="Q59" s="51" t="str">
        <f>+'BOS G2 NEMA'!Q71</f>
        <v>SRA</v>
      </c>
      <c r="R59" s="136"/>
      <c r="S59" s="136"/>
      <c r="T59" s="136"/>
      <c r="U59" s="136"/>
      <c r="V59" s="136"/>
    </row>
    <row r="60" spans="1:22" x14ac:dyDescent="0.3">
      <c r="A60" s="1">
        <f t="shared" si="0"/>
        <v>60</v>
      </c>
      <c r="B60" s="31"/>
      <c r="C60" s="44" t="str">
        <f>+'BOS G2 NEMA'!C72</f>
        <v>Basic Service Cost True Up Factor</v>
      </c>
      <c r="D60" s="44"/>
      <c r="E60" s="86"/>
      <c r="F60" s="136"/>
      <c r="G60" s="53">
        <v>-2.5000000000000001E-4</v>
      </c>
      <c r="H60" s="92"/>
      <c r="I60" s="53">
        <f t="shared" si="32"/>
        <v>-2.5000000000000001E-4</v>
      </c>
      <c r="J60" s="53">
        <f t="shared" si="33"/>
        <v>-2.5000000000000001E-4</v>
      </c>
      <c r="K60" s="53">
        <f t="shared" si="34"/>
        <v>-2.5000000000000001E-4</v>
      </c>
      <c r="L60" s="53"/>
      <c r="M60" s="54">
        <f t="shared" si="35"/>
        <v>0</v>
      </c>
      <c r="N60" s="54">
        <f t="shared" si="36"/>
        <v>0</v>
      </c>
      <c r="O60" s="54"/>
      <c r="P60" s="54">
        <f t="shared" si="37"/>
        <v>0</v>
      </c>
      <c r="Q60" s="51" t="str">
        <f>+'BOS G2 NEMA'!Q72</f>
        <v>BSTF</v>
      </c>
      <c r="R60" s="136"/>
      <c r="S60" s="136"/>
      <c r="T60" s="136"/>
      <c r="U60" s="136"/>
      <c r="V60" s="136"/>
    </row>
    <row r="61" spans="1:22" x14ac:dyDescent="0.3">
      <c r="A61" s="1">
        <f t="shared" si="0"/>
        <v>61</v>
      </c>
      <c r="B61" s="31"/>
      <c r="C61" s="44" t="str">
        <f>+'BOS G2 NEMA'!C73</f>
        <v>Solar Program Cost Adjustment Factor</v>
      </c>
      <c r="D61" s="44"/>
      <c r="E61" s="86"/>
      <c r="F61" s="136"/>
      <c r="G61" s="53">
        <v>1.0000000000000001E-5</v>
      </c>
      <c r="H61" s="92"/>
      <c r="I61" s="53">
        <f t="shared" si="32"/>
        <v>1.0000000000000001E-5</v>
      </c>
      <c r="J61" s="53">
        <f t="shared" si="33"/>
        <v>1.0000000000000001E-5</v>
      </c>
      <c r="K61" s="53">
        <f t="shared" si="34"/>
        <v>1.0000000000000001E-5</v>
      </c>
      <c r="L61" s="53"/>
      <c r="M61" s="54">
        <f t="shared" si="35"/>
        <v>0</v>
      </c>
      <c r="N61" s="54">
        <f t="shared" si="36"/>
        <v>0</v>
      </c>
      <c r="O61" s="54"/>
      <c r="P61" s="54">
        <f t="shared" si="37"/>
        <v>0</v>
      </c>
      <c r="Q61" s="51" t="str">
        <f>+'BOS G2 NEMA'!Q73</f>
        <v>SPCA</v>
      </c>
      <c r="R61" s="136"/>
      <c r="S61" s="136"/>
      <c r="T61" s="136"/>
      <c r="U61" s="136"/>
      <c r="V61" s="136"/>
    </row>
    <row r="62" spans="1:22" x14ac:dyDescent="0.3">
      <c r="A62" s="1">
        <f t="shared" si="0"/>
        <v>62</v>
      </c>
      <c r="B62" s="31"/>
      <c r="C62" s="44" t="str">
        <f>+'BOS G2 NEMA'!C74</f>
        <v>Solar Expansion Cost Recovery Factor</v>
      </c>
      <c r="D62" s="37"/>
      <c r="E62" s="37"/>
      <c r="F62" s="53"/>
      <c r="G62" s="53">
        <v>-2.7999999999999998E-4</v>
      </c>
      <c r="H62" s="53"/>
      <c r="I62" s="53">
        <f t="shared" si="32"/>
        <v>-2.7999999999999998E-4</v>
      </c>
      <c r="J62" s="53">
        <f t="shared" si="33"/>
        <v>-2.7999999999999998E-4</v>
      </c>
      <c r="K62" s="53">
        <f t="shared" si="34"/>
        <v>-2.7999999999999998E-4</v>
      </c>
      <c r="L62" s="53"/>
      <c r="M62" s="54">
        <f t="shared" si="35"/>
        <v>0</v>
      </c>
      <c r="N62" s="54">
        <f t="shared" si="36"/>
        <v>0</v>
      </c>
      <c r="O62" s="54"/>
      <c r="P62" s="54">
        <f t="shared" si="37"/>
        <v>0</v>
      </c>
      <c r="Q62" s="51" t="str">
        <f>+'BOS G2 NEMA'!Q74</f>
        <v>SECRF</v>
      </c>
    </row>
    <row r="63" spans="1:22" x14ac:dyDescent="0.3">
      <c r="A63" s="1">
        <f t="shared" si="0"/>
        <v>63</v>
      </c>
      <c r="B63" s="31"/>
      <c r="C63" s="44" t="str">
        <f>+'BOS G2 NEMA'!C75</f>
        <v>Vegetation Management</v>
      </c>
      <c r="D63" s="37"/>
      <c r="E63" s="37"/>
      <c r="F63" s="53"/>
      <c r="G63" s="53">
        <v>8.3000000000000001E-4</v>
      </c>
      <c r="H63" s="53"/>
      <c r="I63" s="53">
        <f t="shared" si="32"/>
        <v>8.3000000000000001E-4</v>
      </c>
      <c r="J63" s="53">
        <f t="shared" si="33"/>
        <v>8.3000000000000001E-4</v>
      </c>
      <c r="K63" s="53">
        <f t="shared" si="34"/>
        <v>8.3000000000000001E-4</v>
      </c>
      <c r="L63" s="53"/>
      <c r="M63" s="54">
        <f t="shared" si="35"/>
        <v>0</v>
      </c>
      <c r="N63" s="54">
        <f t="shared" si="36"/>
        <v>0</v>
      </c>
      <c r="O63" s="54"/>
      <c r="P63" s="54">
        <f t="shared" si="37"/>
        <v>0</v>
      </c>
      <c r="Q63" s="51" t="str">
        <f>+'BOS G2 NEMA'!Q75</f>
        <v>RTWF</v>
      </c>
    </row>
    <row r="64" spans="1:22" x14ac:dyDescent="0.3">
      <c r="A64" s="1">
        <f t="shared" si="0"/>
        <v>64</v>
      </c>
      <c r="B64" s="31"/>
      <c r="C64" s="44" t="str">
        <f>+'BOS G2 NEMA'!C76</f>
        <v>Tax Act Credit Factor</v>
      </c>
      <c r="D64" s="44"/>
      <c r="E64" s="86"/>
      <c r="F64" s="136"/>
      <c r="G64" s="53">
        <v>-9.8999999999999999E-4</v>
      </c>
      <c r="H64" s="92"/>
      <c r="I64" s="53">
        <f t="shared" si="32"/>
        <v>-9.8999999999999999E-4</v>
      </c>
      <c r="J64" s="53">
        <f t="shared" si="33"/>
        <v>-9.8999999999999999E-4</v>
      </c>
      <c r="K64" s="53">
        <f t="shared" si="34"/>
        <v>-9.8999999999999999E-4</v>
      </c>
      <c r="L64" s="53"/>
      <c r="M64" s="54">
        <f t="shared" si="35"/>
        <v>0</v>
      </c>
      <c r="N64" s="54">
        <f t="shared" si="36"/>
        <v>0</v>
      </c>
      <c r="O64" s="54"/>
      <c r="P64" s="54">
        <f t="shared" si="37"/>
        <v>0</v>
      </c>
      <c r="Q64" s="51" t="str">
        <f>+'BOS G2 NEMA'!Q76</f>
        <v>TACF</v>
      </c>
      <c r="R64" s="136"/>
      <c r="S64" s="136"/>
      <c r="T64" s="136"/>
      <c r="U64" s="136"/>
      <c r="V64" s="136"/>
    </row>
    <row r="65" spans="1:22" x14ac:dyDescent="0.3">
      <c r="A65" s="1">
        <f t="shared" si="0"/>
        <v>65</v>
      </c>
      <c r="B65" s="31"/>
      <c r="C65" s="44" t="str">
        <f>+'BOS G2 NEMA'!C77</f>
        <v>Grid Modernization</v>
      </c>
      <c r="D65" s="44"/>
      <c r="E65" s="86"/>
      <c r="F65" s="136"/>
      <c r="G65" s="53">
        <v>1.2199999999999999E-3</v>
      </c>
      <c r="H65" s="92"/>
      <c r="I65" s="53">
        <f t="shared" si="32"/>
        <v>1.2199999999999999E-3</v>
      </c>
      <c r="J65" s="53">
        <f t="shared" si="33"/>
        <v>1.2199999999999999E-3</v>
      </c>
      <c r="K65" s="53">
        <f t="shared" si="34"/>
        <v>1.2199999999999999E-3</v>
      </c>
      <c r="L65" s="53"/>
      <c r="M65" s="54">
        <f t="shared" si="35"/>
        <v>0</v>
      </c>
      <c r="N65" s="54">
        <f t="shared" si="36"/>
        <v>0</v>
      </c>
      <c r="O65" s="54"/>
      <c r="P65" s="54">
        <f t="shared" si="37"/>
        <v>0</v>
      </c>
      <c r="Q65" s="51" t="str">
        <f>+'BOS G2 NEMA'!Q77</f>
        <v>GMOD</v>
      </c>
      <c r="R65" s="136"/>
      <c r="S65" s="136"/>
      <c r="T65" s="136"/>
      <c r="U65" s="136"/>
      <c r="V65" s="136"/>
    </row>
    <row r="66" spans="1:22" x14ac:dyDescent="0.3">
      <c r="A66" s="1">
        <f t="shared" si="0"/>
        <v>66</v>
      </c>
      <c r="B66" s="31"/>
      <c r="C66" s="44" t="str">
        <f>+'BOS G2 NEMA'!C78</f>
        <v>Advanced Metering Infrastructure</v>
      </c>
      <c r="D66" s="44"/>
      <c r="E66" s="86"/>
      <c r="F66" s="136"/>
      <c r="G66" s="53">
        <v>1.6199999999999999E-3</v>
      </c>
      <c r="H66" s="92"/>
      <c r="I66" s="53">
        <f t="shared" si="32"/>
        <v>1.6199999999999999E-3</v>
      </c>
      <c r="J66" s="53">
        <f t="shared" si="33"/>
        <v>1.6199999999999999E-3</v>
      </c>
      <c r="K66" s="53">
        <f t="shared" si="34"/>
        <v>1.6199999999999999E-3</v>
      </c>
      <c r="L66" s="53"/>
      <c r="M66" s="54">
        <f t="shared" si="35"/>
        <v>0</v>
      </c>
      <c r="N66" s="54">
        <f t="shared" si="36"/>
        <v>0</v>
      </c>
      <c r="O66" s="54"/>
      <c r="P66" s="54">
        <f t="shared" si="37"/>
        <v>0</v>
      </c>
      <c r="Q66" s="51" t="str">
        <f>+'BOS G2 NEMA'!Q78</f>
        <v>AMIF</v>
      </c>
      <c r="R66" s="136"/>
      <c r="S66" s="136"/>
      <c r="T66" s="136"/>
      <c r="U66" s="136"/>
      <c r="V66" s="136"/>
    </row>
    <row r="67" spans="1:22" x14ac:dyDescent="0.3">
      <c r="A67" s="1">
        <f t="shared" ref="A67:A75" si="38">A66+1</f>
        <v>67</v>
      </c>
      <c r="B67" s="31"/>
      <c r="C67" s="44" t="str">
        <f>+'BOS G2 NEMA'!C79</f>
        <v>Electronic Payment Recovery</v>
      </c>
      <c r="D67" s="44"/>
      <c r="E67" s="86"/>
      <c r="F67" s="136"/>
      <c r="G67" s="53">
        <v>0</v>
      </c>
      <c r="H67" s="92"/>
      <c r="I67" s="53">
        <f t="shared" si="32"/>
        <v>0</v>
      </c>
      <c r="J67" s="53">
        <f t="shared" si="33"/>
        <v>0</v>
      </c>
      <c r="K67" s="53">
        <f t="shared" si="34"/>
        <v>0</v>
      </c>
      <c r="L67" s="53"/>
      <c r="M67" s="54">
        <f t="shared" si="35"/>
        <v>0</v>
      </c>
      <c r="N67" s="54">
        <f t="shared" si="36"/>
        <v>0</v>
      </c>
      <c r="O67" s="54"/>
      <c r="P67" s="54">
        <f t="shared" si="37"/>
        <v>0</v>
      </c>
      <c r="Q67" s="51" t="str">
        <f>+'BOS G2 NEMA'!Q79</f>
        <v>EPR</v>
      </c>
      <c r="R67" s="136"/>
      <c r="S67" s="136"/>
      <c r="T67" s="136"/>
      <c r="U67" s="136"/>
      <c r="V67" s="136"/>
    </row>
    <row r="68" spans="1:22" x14ac:dyDescent="0.3">
      <c r="A68" s="1">
        <f t="shared" si="38"/>
        <v>68</v>
      </c>
      <c r="B68" s="31"/>
      <c r="C68" s="44" t="str">
        <f>+'BOS G2 NEMA'!C80</f>
        <v>Provisional System Planning Factor</v>
      </c>
      <c r="D68" s="44"/>
      <c r="E68" s="86"/>
      <c r="F68" s="136"/>
      <c r="G68" s="91">
        <v>0</v>
      </c>
      <c r="H68" s="92"/>
      <c r="I68" s="91">
        <f t="shared" si="32"/>
        <v>0</v>
      </c>
      <c r="J68" s="91">
        <f t="shared" si="33"/>
        <v>0</v>
      </c>
      <c r="K68" s="91">
        <f t="shared" si="34"/>
        <v>0</v>
      </c>
      <c r="L68" s="91"/>
      <c r="M68" s="54">
        <f t="shared" si="35"/>
        <v>0</v>
      </c>
      <c r="N68" s="54">
        <f t="shared" si="36"/>
        <v>0</v>
      </c>
      <c r="O68" s="54"/>
      <c r="P68" s="54">
        <f t="shared" si="37"/>
        <v>0</v>
      </c>
      <c r="Q68" s="51" t="str">
        <f>+'BOS G2 NEMA'!Q80</f>
        <v>PSPF</v>
      </c>
      <c r="R68" s="136"/>
      <c r="S68" s="136"/>
      <c r="T68" s="136"/>
      <c r="U68" s="136"/>
      <c r="V68" s="136"/>
    </row>
    <row r="69" spans="1:22" x14ac:dyDescent="0.3">
      <c r="A69" s="1">
        <f t="shared" si="38"/>
        <v>69</v>
      </c>
      <c r="B69" s="31"/>
      <c r="C69" s="44" t="str">
        <f>+'BOS G2 NEMA'!C81</f>
        <v>Electric Vehicle Factor</v>
      </c>
      <c r="D69" s="44"/>
      <c r="E69" s="86"/>
      <c r="F69" s="136"/>
      <c r="G69" s="91">
        <v>7.6000000000000004E-4</v>
      </c>
      <c r="H69" s="92"/>
      <c r="I69" s="91">
        <f t="shared" si="32"/>
        <v>7.6000000000000004E-4</v>
      </c>
      <c r="J69" s="91">
        <f t="shared" si="33"/>
        <v>7.6000000000000004E-4</v>
      </c>
      <c r="K69" s="91">
        <f t="shared" si="34"/>
        <v>7.6000000000000004E-4</v>
      </c>
      <c r="L69" s="91"/>
      <c r="M69" s="54">
        <f t="shared" si="35"/>
        <v>0</v>
      </c>
      <c r="N69" s="54">
        <f t="shared" si="36"/>
        <v>0</v>
      </c>
      <c r="O69" s="54"/>
      <c r="P69" s="54">
        <f t="shared" si="37"/>
        <v>0</v>
      </c>
      <c r="Q69" s="51" t="str">
        <f>+'BOS G2 NEMA'!Q81</f>
        <v>EVF</v>
      </c>
      <c r="R69" s="136"/>
      <c r="S69" s="136"/>
      <c r="T69" s="136"/>
      <c r="U69" s="136"/>
      <c r="V69" s="136"/>
    </row>
    <row r="70" spans="1:22" x14ac:dyDescent="0.3">
      <c r="A70" s="1">
        <f t="shared" si="38"/>
        <v>70</v>
      </c>
      <c r="B70" s="31"/>
      <c r="C70" s="44" t="str">
        <f>+'BOS G2 NEMA'!C82</f>
        <v>Transition</v>
      </c>
      <c r="D70" s="44"/>
      <c r="E70" s="86"/>
      <c r="F70" s="136"/>
      <c r="G70" s="91">
        <v>-3.6999999999999999E-4</v>
      </c>
      <c r="H70" s="92"/>
      <c r="I70" s="91">
        <f t="shared" si="32"/>
        <v>-3.6999999999999999E-4</v>
      </c>
      <c r="J70" s="91">
        <f t="shared" si="33"/>
        <v>-3.6999999999999999E-4</v>
      </c>
      <c r="K70" s="91">
        <f t="shared" si="34"/>
        <v>-3.6999999999999999E-4</v>
      </c>
      <c r="L70" s="91"/>
      <c r="M70" s="54">
        <f t="shared" si="35"/>
        <v>0</v>
      </c>
      <c r="N70" s="54">
        <f t="shared" si="36"/>
        <v>0</v>
      </c>
      <c r="O70" s="54"/>
      <c r="P70" s="54">
        <f t="shared" si="37"/>
        <v>0</v>
      </c>
      <c r="Q70" s="51" t="str">
        <f>+'BOS G2 NEMA'!Q82</f>
        <v>TRNSN</v>
      </c>
      <c r="R70" s="136"/>
      <c r="S70" s="136"/>
      <c r="T70" s="136"/>
      <c r="U70" s="136"/>
      <c r="V70" s="136"/>
    </row>
    <row r="71" spans="1:22" x14ac:dyDescent="0.3">
      <c r="A71" s="1">
        <f t="shared" si="38"/>
        <v>71</v>
      </c>
      <c r="B71" s="31"/>
      <c r="C71" s="44" t="s">
        <v>147</v>
      </c>
      <c r="D71" s="44"/>
      <c r="E71" s="86"/>
      <c r="F71" s="136"/>
      <c r="G71" s="88">
        <v>12.81</v>
      </c>
      <c r="H71" s="88"/>
      <c r="I71" s="88">
        <f t="shared" si="32"/>
        <v>12.81</v>
      </c>
      <c r="J71" s="88">
        <f t="shared" si="33"/>
        <v>12.81</v>
      </c>
      <c r="K71" s="88">
        <f t="shared" si="34"/>
        <v>12.81</v>
      </c>
      <c r="L71" s="88"/>
      <c r="M71" s="50">
        <f t="shared" si="35"/>
        <v>0</v>
      </c>
      <c r="N71" s="50">
        <f t="shared" si="36"/>
        <v>0</v>
      </c>
      <c r="O71" s="88"/>
      <c r="P71" s="50">
        <f t="shared" si="37"/>
        <v>0</v>
      </c>
      <c r="Q71" s="51" t="s">
        <v>104</v>
      </c>
      <c r="R71" s="136"/>
      <c r="S71" s="136"/>
      <c r="T71" s="136"/>
      <c r="U71" s="136"/>
      <c r="V71" s="136"/>
    </row>
    <row r="72" spans="1:22" x14ac:dyDescent="0.3">
      <c r="A72" s="1">
        <f t="shared" si="38"/>
        <v>72</v>
      </c>
      <c r="B72" s="31"/>
      <c r="C72" s="44" t="s">
        <v>105</v>
      </c>
      <c r="E72" s="136"/>
      <c r="F72" s="136"/>
      <c r="G72" s="92">
        <v>-8.1300000000000001E-3</v>
      </c>
      <c r="H72" s="92"/>
      <c r="I72" s="92">
        <v>1.038E-2</v>
      </c>
      <c r="J72" s="92">
        <v>1.333E-2</v>
      </c>
      <c r="K72" s="92">
        <v>1.3129999999999999E-2</v>
      </c>
      <c r="L72" s="92"/>
      <c r="M72" s="54">
        <f t="shared" si="35"/>
        <v>1.8509999999999999E-2</v>
      </c>
      <c r="N72" s="54">
        <f t="shared" si="36"/>
        <v>2.9499999999999995E-3</v>
      </c>
      <c r="O72" s="54"/>
      <c r="P72" s="54">
        <f t="shared" si="37"/>
        <v>-2.0000000000000052E-4</v>
      </c>
      <c r="Q72" s="51" t="s">
        <v>106</v>
      </c>
      <c r="R72" s="136"/>
      <c r="S72" s="136"/>
      <c r="T72" s="136"/>
      <c r="U72" s="136"/>
      <c r="V72" s="136"/>
    </row>
    <row r="73" spans="1:22" x14ac:dyDescent="0.3">
      <c r="A73" s="1">
        <f t="shared" si="38"/>
        <v>73</v>
      </c>
      <c r="B73" s="31"/>
      <c r="C73" s="44" t="s">
        <v>107</v>
      </c>
      <c r="E73" s="136"/>
      <c r="F73" s="136"/>
      <c r="G73" s="92">
        <v>2.5000000000000001E-3</v>
      </c>
      <c r="H73" s="92"/>
      <c r="I73" s="92">
        <f t="shared" si="32"/>
        <v>2.5000000000000001E-3</v>
      </c>
      <c r="J73" s="92">
        <f t="shared" si="33"/>
        <v>2.5000000000000001E-3</v>
      </c>
      <c r="K73" s="92">
        <f t="shared" si="34"/>
        <v>2.5000000000000001E-3</v>
      </c>
      <c r="L73" s="92"/>
      <c r="M73" s="54">
        <f t="shared" si="35"/>
        <v>0</v>
      </c>
      <c r="N73" s="54">
        <f t="shared" si="36"/>
        <v>0</v>
      </c>
      <c r="O73" s="54"/>
      <c r="P73" s="54">
        <f t="shared" si="37"/>
        <v>0</v>
      </c>
      <c r="Q73" s="51" t="s">
        <v>108</v>
      </c>
      <c r="R73" s="136"/>
      <c r="S73" s="136"/>
      <c r="T73" s="136"/>
      <c r="U73" s="136"/>
      <c r="V73" s="136"/>
    </row>
    <row r="74" spans="1:22" x14ac:dyDescent="0.3">
      <c r="A74" s="1">
        <f t="shared" si="38"/>
        <v>74</v>
      </c>
      <c r="C74" s="44" t="s">
        <v>109</v>
      </c>
      <c r="E74" s="136"/>
      <c r="F74" s="136"/>
      <c r="G74" s="92">
        <v>5.0000000000000001E-4</v>
      </c>
      <c r="H74" s="92"/>
      <c r="I74" s="92">
        <f t="shared" si="32"/>
        <v>5.0000000000000001E-4</v>
      </c>
      <c r="J74" s="92">
        <f t="shared" si="33"/>
        <v>5.0000000000000001E-4</v>
      </c>
      <c r="K74" s="92">
        <f t="shared" si="34"/>
        <v>5.0000000000000001E-4</v>
      </c>
      <c r="L74" s="92"/>
      <c r="M74" s="54">
        <f t="shared" si="35"/>
        <v>0</v>
      </c>
      <c r="N74" s="54">
        <f t="shared" si="36"/>
        <v>0</v>
      </c>
      <c r="O74" s="54"/>
      <c r="P74" s="54">
        <f t="shared" si="37"/>
        <v>0</v>
      </c>
      <c r="Q74" s="51" t="s">
        <v>110</v>
      </c>
      <c r="R74" s="136"/>
      <c r="S74" s="136"/>
      <c r="T74" s="136"/>
      <c r="U74" s="136"/>
      <c r="V74" s="136"/>
    </row>
    <row r="75" spans="1:22" x14ac:dyDescent="0.3">
      <c r="A75" s="1">
        <f t="shared" si="38"/>
        <v>75</v>
      </c>
      <c r="C75" s="44" t="s">
        <v>111</v>
      </c>
      <c r="E75" s="136"/>
      <c r="F75" s="136"/>
      <c r="G75" s="92">
        <v>0.13556000000000001</v>
      </c>
      <c r="H75" s="92"/>
      <c r="I75" s="92">
        <f t="shared" si="32"/>
        <v>0.13556000000000001</v>
      </c>
      <c r="J75" s="92">
        <f t="shared" si="33"/>
        <v>0.13556000000000001</v>
      </c>
      <c r="K75" s="92">
        <f t="shared" si="34"/>
        <v>0.13556000000000001</v>
      </c>
      <c r="L75" s="92"/>
      <c r="M75" s="54">
        <f t="shared" si="35"/>
        <v>0</v>
      </c>
      <c r="N75" s="54">
        <f t="shared" si="36"/>
        <v>0</v>
      </c>
      <c r="O75" s="54"/>
      <c r="P75" s="54">
        <f t="shared" si="37"/>
        <v>0</v>
      </c>
      <c r="Q75" s="51" t="s">
        <v>112</v>
      </c>
      <c r="R75" s="136"/>
      <c r="S75" s="136"/>
      <c r="T75" s="136"/>
      <c r="U75" s="136"/>
      <c r="V75" s="136"/>
    </row>
    <row r="76" spans="1:22" x14ac:dyDescent="0.3">
      <c r="A76" s="1"/>
      <c r="C76" s="44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</row>
    <row r="77" spans="1:22" x14ac:dyDescent="0.3">
      <c r="A77" s="1"/>
      <c r="C77" s="44" t="s">
        <v>58</v>
      </c>
      <c r="G77" s="88">
        <f>+G47</f>
        <v>370</v>
      </c>
      <c r="H77" s="88"/>
      <c r="I77" s="88">
        <f>+I47</f>
        <v>370</v>
      </c>
      <c r="J77" s="88">
        <f t="shared" ref="J77:K77" si="39">+J47</f>
        <v>370</v>
      </c>
      <c r="K77" s="88">
        <f t="shared" si="39"/>
        <v>370</v>
      </c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</row>
    <row r="78" spans="1:22" x14ac:dyDescent="0.3">
      <c r="A78" s="1"/>
      <c r="C78" s="44" t="s">
        <v>148</v>
      </c>
      <c r="E78" s="136"/>
      <c r="F78" s="136"/>
      <c r="G78" s="88">
        <f>SUM(G48,G71)</f>
        <v>16.170000000000002</v>
      </c>
      <c r="H78" s="88"/>
      <c r="I78" s="88">
        <f>SUM(I48,I71)</f>
        <v>16.170000000000002</v>
      </c>
      <c r="J78" s="88">
        <f t="shared" ref="J78:K78" si="40">SUM(J48,J71)</f>
        <v>16.170000000000002</v>
      </c>
      <c r="K78" s="88">
        <f t="shared" si="40"/>
        <v>16.170000000000002</v>
      </c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</row>
    <row r="79" spans="1:22" x14ac:dyDescent="0.3">
      <c r="A79" s="1"/>
      <c r="C79" s="44" t="s">
        <v>122</v>
      </c>
      <c r="E79" s="136"/>
      <c r="F79" s="136"/>
      <c r="G79" s="92">
        <f>SUM(G49:G70,G72:G74)</f>
        <v>3.2089999999999987E-2</v>
      </c>
      <c r="H79" s="92"/>
      <c r="I79" s="92">
        <f>SUM(I49:I70,I72:I74)</f>
        <v>5.0599999999999985E-2</v>
      </c>
      <c r="J79" s="92">
        <f t="shared" ref="J79:K79" si="41">SUM(J49:J70,J72:J74)</f>
        <v>5.3549999999999986E-2</v>
      </c>
      <c r="K79" s="92">
        <f t="shared" si="41"/>
        <v>5.3349999999999981E-2</v>
      </c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</row>
    <row r="80" spans="1:22" x14ac:dyDescent="0.3">
      <c r="A80" s="1"/>
      <c r="C80" s="44" t="s">
        <v>123</v>
      </c>
      <c r="G80" s="91">
        <f>+G75</f>
        <v>0.13556000000000001</v>
      </c>
      <c r="H80" s="92"/>
      <c r="I80" s="91">
        <f>+I75</f>
        <v>0.13556000000000001</v>
      </c>
      <c r="J80" s="91">
        <f t="shared" ref="J80:K80" si="42">+J75</f>
        <v>0.13556000000000001</v>
      </c>
      <c r="K80" s="91">
        <f t="shared" si="42"/>
        <v>0.13556000000000001</v>
      </c>
    </row>
    <row r="81" spans="1:11" x14ac:dyDescent="0.3">
      <c r="A81" s="31"/>
      <c r="B81" s="31"/>
      <c r="I81" s="44"/>
      <c r="J81" s="44"/>
      <c r="K81" s="44"/>
    </row>
    <row r="82" spans="1:11" x14ac:dyDescent="0.3">
      <c r="A82" s="31"/>
      <c r="B82" s="31"/>
      <c r="C82" s="172"/>
      <c r="E82" s="178"/>
      <c r="F82" s="192"/>
      <c r="I82" s="44"/>
      <c r="J82" s="44"/>
      <c r="K82" s="44"/>
    </row>
    <row r="83" spans="1:11" x14ac:dyDescent="0.3">
      <c r="A83" s="31"/>
      <c r="B83" s="31"/>
      <c r="C83" s="172"/>
      <c r="E83" s="178"/>
      <c r="F83" s="192"/>
      <c r="I83" s="44"/>
      <c r="J83" s="44"/>
      <c r="K83" s="44"/>
    </row>
    <row r="84" spans="1:11" x14ac:dyDescent="0.3">
      <c r="A84" s="31"/>
      <c r="B84" s="31"/>
      <c r="C84" s="172"/>
      <c r="E84" s="178"/>
      <c r="F84" s="192"/>
      <c r="I84" s="44"/>
      <c r="J84" s="44"/>
      <c r="K84" s="44"/>
    </row>
    <row r="85" spans="1:11" x14ac:dyDescent="0.3">
      <c r="A85" s="31"/>
      <c r="B85" s="31"/>
      <c r="I85" s="44"/>
      <c r="J85" s="44"/>
      <c r="K85" s="44"/>
    </row>
    <row r="86" spans="1:11" x14ac:dyDescent="0.3">
      <c r="A86" s="31"/>
      <c r="B86" s="31"/>
      <c r="I86" s="44"/>
      <c r="J86" s="44"/>
      <c r="K86" s="44"/>
    </row>
    <row r="87" spans="1:11" x14ac:dyDescent="0.3">
      <c r="A87" s="31"/>
      <c r="B87" s="31"/>
      <c r="I87" s="44"/>
      <c r="J87" s="44"/>
      <c r="K87" s="44"/>
    </row>
    <row r="88" spans="1:11" x14ac:dyDescent="0.3">
      <c r="A88" s="31"/>
      <c r="B88" s="31"/>
      <c r="I88" s="44"/>
      <c r="J88" s="44"/>
      <c r="K88" s="44"/>
    </row>
    <row r="89" spans="1:11" x14ac:dyDescent="0.3">
      <c r="A89" s="31"/>
      <c r="B89" s="31"/>
      <c r="I89" s="44"/>
      <c r="J89" s="44"/>
      <c r="K89" s="44"/>
    </row>
    <row r="90" spans="1:11" x14ac:dyDescent="0.3">
      <c r="A90" s="31"/>
      <c r="B90" s="31"/>
      <c r="I90" s="44"/>
      <c r="J90" s="44"/>
      <c r="K90" s="44"/>
    </row>
    <row r="91" spans="1:11" x14ac:dyDescent="0.3">
      <c r="A91" s="31"/>
      <c r="B91" s="31"/>
      <c r="I91" s="44"/>
      <c r="J91" s="44"/>
      <c r="K91" s="44"/>
    </row>
    <row r="92" spans="1:11" x14ac:dyDescent="0.3">
      <c r="A92" s="31"/>
      <c r="B92" s="31"/>
      <c r="I92" s="44"/>
      <c r="J92" s="44"/>
      <c r="K92" s="44"/>
    </row>
    <row r="93" spans="1:11" x14ac:dyDescent="0.3">
      <c r="A93" s="31"/>
      <c r="B93" s="31"/>
      <c r="I93" s="44"/>
      <c r="J93" s="44"/>
      <c r="K93" s="44"/>
    </row>
    <row r="94" spans="1:11" x14ac:dyDescent="0.3">
      <c r="A94" s="31"/>
      <c r="B94" s="31"/>
      <c r="I94" s="44"/>
      <c r="J94" s="44"/>
      <c r="K94" s="44"/>
    </row>
    <row r="95" spans="1:11" x14ac:dyDescent="0.3">
      <c r="A95" s="31"/>
      <c r="B95" s="31"/>
      <c r="I95" s="44"/>
      <c r="J95" s="44"/>
      <c r="K95" s="44"/>
    </row>
    <row r="96" spans="1:11" x14ac:dyDescent="0.3">
      <c r="A96" s="31"/>
      <c r="B96" s="31"/>
      <c r="I96" s="44"/>
      <c r="J96" s="44"/>
      <c r="K96" s="44"/>
    </row>
    <row r="97" spans="1:23" x14ac:dyDescent="0.3">
      <c r="A97" s="31"/>
      <c r="B97" s="31"/>
      <c r="I97" s="44"/>
      <c r="J97" s="44"/>
      <c r="K97" s="44"/>
    </row>
    <row r="98" spans="1:23" x14ac:dyDescent="0.3">
      <c r="A98" s="31"/>
      <c r="B98" s="31"/>
      <c r="I98" s="44"/>
      <c r="J98" s="44"/>
      <c r="K98" s="44"/>
    </row>
    <row r="99" spans="1:23" x14ac:dyDescent="0.3">
      <c r="A99" s="31"/>
      <c r="B99" s="31"/>
      <c r="C99" s="179"/>
      <c r="I99" s="44"/>
      <c r="J99" s="44"/>
      <c r="K99" s="44"/>
    </row>
    <row r="100" spans="1:23" x14ac:dyDescent="0.3">
      <c r="A100" s="31"/>
      <c r="B100" s="31"/>
      <c r="C100" s="163"/>
      <c r="D100" s="163"/>
      <c r="E100" s="146"/>
      <c r="F100" s="146"/>
      <c r="G100" s="146"/>
      <c r="H100" s="147"/>
      <c r="I100" s="146"/>
      <c r="J100" s="146"/>
      <c r="K100" s="146"/>
      <c r="L100" s="147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8"/>
    </row>
    <row r="101" spans="1:23" x14ac:dyDescent="0.3">
      <c r="A101" s="31"/>
      <c r="B101" s="31"/>
      <c r="I101" s="44"/>
      <c r="J101" s="44"/>
      <c r="K101" s="44"/>
    </row>
    <row r="102" spans="1:23" x14ac:dyDescent="0.3">
      <c r="A102" s="31"/>
      <c r="B102" s="31"/>
      <c r="C102" s="163"/>
      <c r="D102" s="163"/>
      <c r="E102" s="146"/>
      <c r="F102" s="146"/>
      <c r="G102" s="146"/>
      <c r="H102" s="147"/>
      <c r="I102" s="146"/>
      <c r="J102" s="146"/>
      <c r="K102" s="146"/>
      <c r="L102" s="147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8"/>
    </row>
    <row r="103" spans="1:23" x14ac:dyDescent="0.3">
      <c r="A103" s="31"/>
      <c r="B103" s="31"/>
      <c r="I103" s="44"/>
      <c r="J103" s="44"/>
      <c r="K103" s="44"/>
    </row>
    <row r="104" spans="1:23" x14ac:dyDescent="0.3">
      <c r="A104" s="31"/>
      <c r="B104" s="31"/>
      <c r="I104" s="44"/>
      <c r="J104" s="44"/>
      <c r="K104" s="44"/>
    </row>
    <row r="105" spans="1:23" x14ac:dyDescent="0.3">
      <c r="A105" s="31"/>
      <c r="B105" s="31"/>
      <c r="I105" s="44"/>
      <c r="J105" s="44"/>
      <c r="K105" s="44"/>
    </row>
    <row r="106" spans="1:23" x14ac:dyDescent="0.3">
      <c r="A106" s="31"/>
      <c r="B106" s="31"/>
      <c r="I106" s="44"/>
      <c r="J106" s="44"/>
      <c r="K106" s="44"/>
    </row>
    <row r="107" spans="1:23" x14ac:dyDescent="0.3">
      <c r="A107" s="31"/>
      <c r="B107" s="31"/>
      <c r="I107" s="44"/>
      <c r="J107" s="44"/>
      <c r="K107" s="44"/>
    </row>
    <row r="108" spans="1:23" x14ac:dyDescent="0.3">
      <c r="A108" s="31"/>
      <c r="B108" s="31"/>
      <c r="I108" s="44"/>
      <c r="J108" s="44"/>
      <c r="K108" s="44"/>
    </row>
    <row r="109" spans="1:23" x14ac:dyDescent="0.3">
      <c r="A109" s="31"/>
      <c r="B109" s="31"/>
      <c r="I109" s="44"/>
      <c r="J109" s="44"/>
      <c r="K109" s="44"/>
    </row>
    <row r="110" spans="1:23" x14ac:dyDescent="0.3">
      <c r="A110" s="31"/>
      <c r="B110" s="31"/>
      <c r="I110" s="44"/>
      <c r="J110" s="44"/>
      <c r="K110" s="44"/>
    </row>
    <row r="111" spans="1:23" x14ac:dyDescent="0.3">
      <c r="A111" s="31"/>
      <c r="B111" s="31"/>
      <c r="I111" s="44"/>
      <c r="J111" s="44"/>
      <c r="K111" s="44"/>
    </row>
    <row r="112" spans="1:23" x14ac:dyDescent="0.3">
      <c r="A112" s="31"/>
      <c r="B112" s="31"/>
      <c r="I112" s="44"/>
      <c r="J112" s="44"/>
      <c r="K112" s="44"/>
    </row>
    <row r="113" spans="1:11" x14ac:dyDescent="0.3">
      <c r="A113" s="31"/>
      <c r="B113" s="31"/>
      <c r="I113" s="44"/>
      <c r="J113" s="44"/>
      <c r="K113" s="44"/>
    </row>
    <row r="114" spans="1:11" x14ac:dyDescent="0.3">
      <c r="A114" s="31"/>
      <c r="B114" s="31"/>
      <c r="I114" s="44"/>
      <c r="J114" s="44"/>
      <c r="K114" s="44"/>
    </row>
    <row r="115" spans="1:11" x14ac:dyDescent="0.3">
      <c r="A115" s="31"/>
      <c r="B115" s="31"/>
      <c r="I115" s="44"/>
      <c r="J115" s="44"/>
      <c r="K115" s="44"/>
    </row>
    <row r="116" spans="1:11" x14ac:dyDescent="0.3">
      <c r="A116" s="31"/>
      <c r="B116" s="31"/>
      <c r="I116" s="44"/>
      <c r="J116" s="44"/>
      <c r="K116" s="44"/>
    </row>
    <row r="117" spans="1:11" x14ac:dyDescent="0.3">
      <c r="A117" s="31"/>
      <c r="B117" s="31"/>
      <c r="I117" s="44"/>
      <c r="J117" s="44"/>
      <c r="K117" s="44"/>
    </row>
    <row r="118" spans="1:11" x14ac:dyDescent="0.3">
      <c r="A118" s="31"/>
      <c r="B118" s="31"/>
      <c r="I118" s="44"/>
      <c r="J118" s="44"/>
      <c r="K118" s="44"/>
    </row>
    <row r="119" spans="1:11" x14ac:dyDescent="0.3">
      <c r="A119" s="31"/>
      <c r="B119" s="31"/>
      <c r="I119" s="44"/>
      <c r="J119" s="44"/>
      <c r="K119" s="44"/>
    </row>
    <row r="120" spans="1:11" x14ac:dyDescent="0.3">
      <c r="A120" s="31"/>
      <c r="B120" s="31"/>
      <c r="I120" s="44"/>
      <c r="J120" s="44"/>
      <c r="K120" s="44"/>
    </row>
    <row r="121" spans="1:11" x14ac:dyDescent="0.3">
      <c r="A121" s="31"/>
      <c r="B121" s="31"/>
      <c r="I121" s="44"/>
      <c r="J121" s="44"/>
      <c r="K121" s="44"/>
    </row>
    <row r="122" spans="1:11" x14ac:dyDescent="0.3">
      <c r="A122" s="31"/>
      <c r="B122" s="31"/>
      <c r="I122" s="44"/>
      <c r="J122" s="44"/>
      <c r="K122" s="44"/>
    </row>
    <row r="123" spans="1:11" x14ac:dyDescent="0.3">
      <c r="A123" s="31"/>
      <c r="B123" s="31"/>
      <c r="I123" s="44"/>
      <c r="J123" s="44"/>
      <c r="K123" s="44"/>
    </row>
    <row r="124" spans="1:11" x14ac:dyDescent="0.3">
      <c r="A124" s="31"/>
      <c r="B124" s="31"/>
    </row>
    <row r="125" spans="1:11" x14ac:dyDescent="0.3">
      <c r="A125" s="31"/>
      <c r="B125" s="31"/>
    </row>
    <row r="126" spans="1:11" x14ac:dyDescent="0.3">
      <c r="A126" s="31"/>
      <c r="B126" s="31"/>
    </row>
    <row r="127" spans="1:11" x14ac:dyDescent="0.3">
      <c r="A127" s="31"/>
      <c r="B127" s="31"/>
    </row>
    <row r="128" spans="1:11" x14ac:dyDescent="0.3">
      <c r="A128" s="31"/>
      <c r="B128" s="31"/>
    </row>
    <row r="129" spans="1:2" x14ac:dyDescent="0.3">
      <c r="A129" s="31"/>
      <c r="B129" s="31"/>
    </row>
    <row r="130" spans="1:2" x14ac:dyDescent="0.3">
      <c r="A130" s="31"/>
      <c r="B130" s="31"/>
    </row>
    <row r="131" spans="1:2" x14ac:dyDescent="0.3">
      <c r="A131" s="31"/>
      <c r="B131" s="31"/>
    </row>
    <row r="132" spans="1:2" x14ac:dyDescent="0.3">
      <c r="A132" s="31"/>
      <c r="B132" s="31"/>
    </row>
    <row r="133" spans="1:2" x14ac:dyDescent="0.3">
      <c r="A133" s="31"/>
      <c r="B133" s="31"/>
    </row>
    <row r="134" spans="1:2" x14ac:dyDescent="0.3">
      <c r="A134" s="31"/>
      <c r="B134" s="31"/>
    </row>
    <row r="135" spans="1:2" x14ac:dyDescent="0.3">
      <c r="A135" s="31"/>
      <c r="B135" s="31"/>
    </row>
    <row r="136" spans="1:2" x14ac:dyDescent="0.3">
      <c r="A136" s="31"/>
      <c r="B136" s="31"/>
    </row>
    <row r="137" spans="1:2" x14ac:dyDescent="0.3">
      <c r="A137" s="31"/>
      <c r="B137" s="31"/>
    </row>
  </sheetData>
  <mergeCells count="7">
    <mergeCell ref="AA11:AB11"/>
    <mergeCell ref="E11:G11"/>
    <mergeCell ref="I11:K11"/>
    <mergeCell ref="M11:N11"/>
    <mergeCell ref="P11:R11"/>
    <mergeCell ref="T11:U11"/>
    <mergeCell ref="W11:Y11"/>
  </mergeCells>
  <pageMargins left="0.7" right="0.7" top="0.75" bottom="0.75" header="0.3" footer="0.3"/>
  <pageSetup scale="35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10553-BA2A-4A27-8111-364B66CE662B}">
  <sheetPr>
    <tabColor theme="3" tint="0.59999389629810485"/>
    <pageSetUpPr fitToPage="1"/>
  </sheetPr>
  <dimension ref="A1:AI134"/>
  <sheetViews>
    <sheetView zoomScaleNormal="100" workbookViewId="0"/>
  </sheetViews>
  <sheetFormatPr defaultColWidth="9.1796875" defaultRowHeight="14" x14ac:dyDescent="0.3"/>
  <cols>
    <col min="1" max="1" width="4" style="2" customWidth="1"/>
    <col min="2" max="2" width="4.453125" style="2" bestFit="1" customWidth="1"/>
    <col min="3" max="7" width="11.81640625" style="2" customWidth="1"/>
    <col min="8" max="8" width="2" style="2" customWidth="1"/>
    <col min="9" max="11" width="11.81640625" style="2" customWidth="1"/>
    <col min="12" max="12" width="2" style="2" customWidth="1"/>
    <col min="13" max="14" width="11.81640625" style="2" customWidth="1"/>
    <col min="15" max="15" width="2" style="2" customWidth="1"/>
    <col min="16" max="18" width="11.81640625" style="2" customWidth="1"/>
    <col min="19" max="19" width="2" style="2" customWidth="1"/>
    <col min="20" max="21" width="11.81640625" style="2" customWidth="1"/>
    <col min="22" max="22" width="2" style="2" customWidth="1"/>
    <col min="23" max="25" width="11.81640625" style="2" customWidth="1"/>
    <col min="26" max="26" width="2" style="2" customWidth="1"/>
    <col min="27" max="28" width="11.81640625" style="2" customWidth="1"/>
    <col min="29" max="29" width="11.81640625" style="2" bestFit="1" customWidth="1"/>
    <col min="30" max="30" width="11.26953125" style="2" bestFit="1" customWidth="1"/>
    <col min="31" max="31" width="10.1796875" style="2" bestFit="1" customWidth="1"/>
    <col min="32" max="32" width="10.81640625" style="2" bestFit="1" customWidth="1"/>
    <col min="33" max="33" width="11.81640625" style="2" bestFit="1" customWidth="1"/>
    <col min="34" max="16384" width="9.1796875" style="2"/>
  </cols>
  <sheetData>
    <row r="1" spans="1:35" x14ac:dyDescent="0.3">
      <c r="A1" s="1">
        <v>1</v>
      </c>
    </row>
    <row r="2" spans="1:35" x14ac:dyDescent="0.3">
      <c r="A2" s="1">
        <f>A1+1</f>
        <v>2</v>
      </c>
    </row>
    <row r="3" spans="1:35" x14ac:dyDescent="0.3">
      <c r="A3" s="1">
        <f t="shared" ref="A3:A66" si="0">A2+1</f>
        <v>3</v>
      </c>
      <c r="B3" s="24" t="s">
        <v>115</v>
      </c>
    </row>
    <row r="4" spans="1:35" x14ac:dyDescent="0.3">
      <c r="A4" s="1">
        <f t="shared" si="0"/>
        <v>4</v>
      </c>
      <c r="B4" s="24" t="s">
        <v>41</v>
      </c>
      <c r="C4" s="44"/>
      <c r="D4" s="44"/>
      <c r="E4" s="149"/>
      <c r="F4" s="22"/>
      <c r="G4" s="150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35" x14ac:dyDescent="0.3">
      <c r="A5" s="1">
        <f t="shared" si="0"/>
        <v>5</v>
      </c>
      <c r="B5" s="24"/>
      <c r="C5" s="44"/>
      <c r="D5" s="44"/>
      <c r="E5" s="149"/>
      <c r="F5" s="22"/>
      <c r="G5" s="150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35" x14ac:dyDescent="0.3">
      <c r="A6" s="1">
        <f t="shared" si="0"/>
        <v>6</v>
      </c>
      <c r="B6" s="24" t="s">
        <v>196</v>
      </c>
      <c r="C6" s="44"/>
      <c r="D6" s="44"/>
      <c r="E6" s="149"/>
      <c r="F6" s="22"/>
      <c r="G6" s="150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35" x14ac:dyDescent="0.3">
      <c r="A7" s="1">
        <f t="shared" si="0"/>
        <v>7</v>
      </c>
      <c r="B7" s="1"/>
      <c r="C7" s="44"/>
      <c r="D7" s="44"/>
      <c r="E7" s="149"/>
      <c r="F7" s="22"/>
      <c r="G7" s="150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35" x14ac:dyDescent="0.3">
      <c r="A8" s="1">
        <f t="shared" si="0"/>
        <v>8</v>
      </c>
      <c r="B8" s="104"/>
      <c r="C8" s="44"/>
      <c r="D8" s="44"/>
      <c r="E8" s="44"/>
      <c r="F8" s="44"/>
      <c r="G8" s="132"/>
      <c r="H8" s="44"/>
    </row>
    <row r="9" spans="1:35" x14ac:dyDescent="0.3">
      <c r="A9" s="1">
        <f t="shared" si="0"/>
        <v>9</v>
      </c>
      <c r="B9" s="31"/>
      <c r="C9" s="44"/>
      <c r="D9" s="44"/>
      <c r="E9" s="44"/>
      <c r="F9" s="44"/>
      <c r="G9" s="132"/>
      <c r="H9" s="44"/>
    </row>
    <row r="10" spans="1:35" x14ac:dyDescent="0.3">
      <c r="A10" s="1">
        <f t="shared" si="0"/>
        <v>10</v>
      </c>
      <c r="B10" s="31"/>
      <c r="C10" s="104" t="s">
        <v>2</v>
      </c>
      <c r="D10" s="104" t="s">
        <v>2</v>
      </c>
      <c r="E10" s="32" t="str">
        <f>'EMA R1'!D10</f>
        <v>2024 Monthly Bill</v>
      </c>
      <c r="F10" s="32"/>
      <c r="G10" s="32"/>
      <c r="H10" s="133"/>
      <c r="I10" s="32" t="str">
        <f>'EMA R1'!H10</f>
        <v>2025 Illustrative Monthly Bill</v>
      </c>
      <c r="J10" s="32"/>
      <c r="K10" s="32"/>
      <c r="L10" s="23"/>
      <c r="M10" s="32" t="str">
        <f>'EMA R1'!L10</f>
        <v>2025 vs. 2024</v>
      </c>
      <c r="N10" s="32"/>
      <c r="O10" s="27"/>
      <c r="P10" s="32" t="str">
        <f>'EMA R1'!O10</f>
        <v>2026 Illustrative Monthly Bill</v>
      </c>
      <c r="Q10" s="32"/>
      <c r="R10" s="32"/>
      <c r="S10" s="133"/>
      <c r="T10" s="32" t="str">
        <f>'EMA R1'!S10</f>
        <v>2026 vs. 2025</v>
      </c>
      <c r="U10" s="32"/>
      <c r="V10" s="23"/>
      <c r="W10" s="32" t="str">
        <f>'EMA R1'!V10</f>
        <v>2027 Illustrative Monthly Bill</v>
      </c>
      <c r="X10" s="32"/>
      <c r="Y10" s="32"/>
      <c r="Z10" s="133"/>
      <c r="AA10" s="32" t="str">
        <f>'EMA R1'!Z10</f>
        <v>2027 vs. 2026</v>
      </c>
      <c r="AB10" s="32"/>
      <c r="AC10" s="44"/>
      <c r="AD10" s="44"/>
      <c r="AE10" s="44"/>
      <c r="AF10" s="44"/>
      <c r="AG10" s="44"/>
      <c r="AH10" s="44"/>
      <c r="AI10" s="44"/>
    </row>
    <row r="11" spans="1:35" x14ac:dyDescent="0.3">
      <c r="A11" s="1">
        <f t="shared" si="0"/>
        <v>11</v>
      </c>
      <c r="B11" s="31"/>
      <c r="C11" s="134" t="s">
        <v>125</v>
      </c>
      <c r="D11" s="134" t="s">
        <v>47</v>
      </c>
      <c r="E11" s="34" t="s">
        <v>48</v>
      </c>
      <c r="F11" s="34" t="s">
        <v>49</v>
      </c>
      <c r="G11" s="34" t="s">
        <v>50</v>
      </c>
      <c r="H11" s="34"/>
      <c r="I11" s="34" t="s">
        <v>48</v>
      </c>
      <c r="J11" s="34" t="s">
        <v>49</v>
      </c>
      <c r="K11" s="34" t="s">
        <v>50</v>
      </c>
      <c r="L11" s="23"/>
      <c r="M11" s="34" t="s">
        <v>51</v>
      </c>
      <c r="N11" s="34" t="s">
        <v>14</v>
      </c>
      <c r="O11" s="34"/>
      <c r="P11" s="34" t="s">
        <v>48</v>
      </c>
      <c r="Q11" s="34" t="s">
        <v>49</v>
      </c>
      <c r="R11" s="34" t="s">
        <v>50</v>
      </c>
      <c r="S11" s="34"/>
      <c r="T11" s="34" t="s">
        <v>51</v>
      </c>
      <c r="U11" s="34" t="s">
        <v>14</v>
      </c>
      <c r="V11" s="23"/>
      <c r="W11" s="34" t="s">
        <v>48</v>
      </c>
      <c r="X11" s="34" t="s">
        <v>49</v>
      </c>
      <c r="Y11" s="34" t="s">
        <v>50</v>
      </c>
      <c r="Z11" s="34"/>
      <c r="AA11" s="34" t="s">
        <v>51</v>
      </c>
      <c r="AB11" s="34" t="s">
        <v>14</v>
      </c>
      <c r="AC11" s="44"/>
      <c r="AD11" s="44"/>
      <c r="AE11" s="44"/>
      <c r="AF11" s="44"/>
      <c r="AG11" s="44"/>
      <c r="AH11" s="44"/>
      <c r="AI11" s="44"/>
    </row>
    <row r="12" spans="1:35" x14ac:dyDescent="0.3">
      <c r="A12" s="1">
        <f t="shared" si="0"/>
        <v>12</v>
      </c>
      <c r="B12" s="31"/>
      <c r="C12" s="134"/>
      <c r="D12" s="134"/>
      <c r="E12" s="134"/>
      <c r="F12" s="134"/>
      <c r="G12" s="134"/>
      <c r="H12" s="44"/>
      <c r="I12" s="134"/>
      <c r="J12" s="134"/>
      <c r="K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AB12" s="44"/>
      <c r="AC12" s="44"/>
      <c r="AD12" s="44"/>
      <c r="AE12" s="44"/>
      <c r="AF12" s="44"/>
      <c r="AG12" s="44"/>
      <c r="AH12" s="44"/>
      <c r="AI12" s="44"/>
    </row>
    <row r="13" spans="1:35" x14ac:dyDescent="0.3">
      <c r="A13" s="1">
        <f t="shared" si="0"/>
        <v>13</v>
      </c>
      <c r="B13" s="31"/>
      <c r="C13" s="164" t="s">
        <v>126</v>
      </c>
      <c r="D13" s="104">
        <v>185</v>
      </c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AB13" s="44"/>
      <c r="AC13" s="44"/>
      <c r="AD13" s="44"/>
      <c r="AE13" s="44"/>
      <c r="AF13" s="44"/>
      <c r="AG13" s="44"/>
      <c r="AH13" s="44"/>
      <c r="AI13" s="44"/>
    </row>
    <row r="14" spans="1:35" x14ac:dyDescent="0.3">
      <c r="A14" s="1">
        <f t="shared" si="0"/>
        <v>14</v>
      </c>
      <c r="B14" s="31"/>
      <c r="C14" s="105">
        <v>50</v>
      </c>
      <c r="D14" s="106">
        <f>C14*$D$13</f>
        <v>9250</v>
      </c>
      <c r="E14" s="135">
        <f>ROUND($G$74+$C14*$G$75+$D14*$G$76,2)</f>
        <v>1450.54</v>
      </c>
      <c r="F14" s="135">
        <f>ROUND($D14*$G$77,2)</f>
        <v>964.13</v>
      </c>
      <c r="G14" s="135">
        <f t="shared" ref="G14:G20" si="1">SUM(E14:F14)</f>
        <v>2414.67</v>
      </c>
      <c r="H14" s="136"/>
      <c r="I14" s="135">
        <f>ROUND($I$74+$C14*$I$75+$D14*$I$76,2)</f>
        <v>1621.76</v>
      </c>
      <c r="J14" s="135">
        <f>ROUND($D14*$I$77,2)</f>
        <v>964.13</v>
      </c>
      <c r="K14" s="135">
        <f t="shared" ref="K14:K20" si="2">SUM(I14:J14)</f>
        <v>2585.89</v>
      </c>
      <c r="L14" s="136"/>
      <c r="M14" s="135">
        <f t="shared" ref="M14:M20" si="3">+K14-G14</f>
        <v>171.2199999999998</v>
      </c>
      <c r="N14" s="137">
        <f t="shared" ref="N14:N20" si="4">+M14/G14</f>
        <v>7.0908240049364843E-2</v>
      </c>
      <c r="O14" s="135"/>
      <c r="P14" s="135">
        <f>ROUND($J$74+$C14*$J$75+$D14*$J$76,2)</f>
        <v>1649.04</v>
      </c>
      <c r="Q14" s="135">
        <f>ROUND($D14*$J$77,2)</f>
        <v>964.13</v>
      </c>
      <c r="R14" s="135">
        <f t="shared" ref="R14:R20" si="5">SUM(P14:Q14)</f>
        <v>2613.17</v>
      </c>
      <c r="S14" s="136"/>
      <c r="T14" s="135">
        <f>+R14-K14</f>
        <v>27.2800000000002</v>
      </c>
      <c r="U14" s="137">
        <f>+T14/K14</f>
        <v>1.0549559339337792E-2</v>
      </c>
      <c r="V14" s="135"/>
      <c r="W14" s="135">
        <f>ROUND($K$74+$C14*$K$75+$D14*$K$76,2)</f>
        <v>1647.19</v>
      </c>
      <c r="X14" s="135">
        <f>ROUND($D14*$K$77,2)</f>
        <v>964.13</v>
      </c>
      <c r="Y14" s="135">
        <f t="shared" ref="Y14:Y20" si="6">SUM(W14:X14)</f>
        <v>2611.3200000000002</v>
      </c>
      <c r="Z14" s="136"/>
      <c r="AA14" s="135">
        <f>+Y14-R14</f>
        <v>-1.8499999999999091</v>
      </c>
      <c r="AB14" s="137">
        <f>+AA14/R14</f>
        <v>-7.079524102909145E-4</v>
      </c>
      <c r="AC14" s="136"/>
      <c r="AD14" s="136"/>
      <c r="AE14" s="136"/>
      <c r="AF14" s="136"/>
      <c r="AG14" s="136"/>
      <c r="AH14" s="136"/>
      <c r="AI14" s="136"/>
    </row>
    <row r="15" spans="1:35" x14ac:dyDescent="0.3">
      <c r="A15" s="1">
        <f t="shared" si="0"/>
        <v>15</v>
      </c>
      <c r="B15" s="31"/>
      <c r="C15" s="105">
        <v>90</v>
      </c>
      <c r="D15" s="106">
        <f t="shared" ref="D15:D20" si="7">C15*$D$13</f>
        <v>16650</v>
      </c>
      <c r="E15" s="135">
        <f t="shared" ref="E15:E38" si="8">ROUND($G$74+$C15*$G$75+$D15*$G$76,2)</f>
        <v>2522.9699999999998</v>
      </c>
      <c r="F15" s="135">
        <f t="shared" ref="F15:F38" si="9">ROUND($D15*$G$77,2)</f>
        <v>1735.43</v>
      </c>
      <c r="G15" s="135">
        <f t="shared" si="1"/>
        <v>4258.3999999999996</v>
      </c>
      <c r="H15" s="136"/>
      <c r="I15" s="135">
        <f t="shared" ref="I15:I38" si="10">ROUND($I$74+$C15*$I$75+$D15*$I$76,2)</f>
        <v>2831.16</v>
      </c>
      <c r="J15" s="135">
        <f t="shared" ref="J15:J38" si="11">ROUND($D15*$I$77,2)</f>
        <v>1735.43</v>
      </c>
      <c r="K15" s="135">
        <f t="shared" si="2"/>
        <v>4566.59</v>
      </c>
      <c r="L15" s="136"/>
      <c r="M15" s="135">
        <f t="shared" si="3"/>
        <v>308.19000000000051</v>
      </c>
      <c r="N15" s="137">
        <f t="shared" si="4"/>
        <v>7.2372252489197944E-2</v>
      </c>
      <c r="O15" s="135"/>
      <c r="P15" s="135">
        <f>ROUND($J$74+$C15*$J$75+$D15*$J$76,2)</f>
        <v>2880.28</v>
      </c>
      <c r="Q15" s="135">
        <f t="shared" ref="Q15:Q38" si="12">ROUND($D15*$J$77,2)</f>
        <v>1735.43</v>
      </c>
      <c r="R15" s="135">
        <f t="shared" si="5"/>
        <v>4615.71</v>
      </c>
      <c r="S15" s="136"/>
      <c r="T15" s="135">
        <f t="shared" ref="T15:T38" si="13">+R15-K15</f>
        <v>49.119999999999891</v>
      </c>
      <c r="U15" s="137">
        <f t="shared" ref="U15:U38" si="14">+T15/K15</f>
        <v>1.0756384961207354E-2</v>
      </c>
      <c r="V15" s="135"/>
      <c r="W15" s="135">
        <f>ROUND($K$74+$C15*$K$75+$D15*$K$76,2)</f>
        <v>2876.95</v>
      </c>
      <c r="X15" s="135">
        <f t="shared" ref="X15:X38" si="15">ROUND($D15*$K$77,2)</f>
        <v>1735.43</v>
      </c>
      <c r="Y15" s="135">
        <f t="shared" si="6"/>
        <v>4612.38</v>
      </c>
      <c r="Z15" s="136"/>
      <c r="AA15" s="135">
        <f t="shared" ref="AA15:AA38" si="16">+Y15-R15</f>
        <v>-3.3299999999999272</v>
      </c>
      <c r="AB15" s="137">
        <f t="shared" ref="AB15:AB38" si="17">+AA15/R15</f>
        <v>-7.2144913783576676E-4</v>
      </c>
      <c r="AC15" s="136"/>
      <c r="AD15" s="136"/>
      <c r="AE15" s="136"/>
      <c r="AF15" s="136"/>
      <c r="AG15" s="136"/>
      <c r="AH15" s="136"/>
      <c r="AI15" s="136"/>
    </row>
    <row r="16" spans="1:35" x14ac:dyDescent="0.3">
      <c r="A16" s="1">
        <f t="shared" si="0"/>
        <v>16</v>
      </c>
      <c r="B16" s="31"/>
      <c r="C16" s="105">
        <v>110</v>
      </c>
      <c r="D16" s="106">
        <f t="shared" si="7"/>
        <v>20350</v>
      </c>
      <c r="E16" s="135">
        <f>ROUND($G$74+$C16*$G$75+$D16*$G$76,2)</f>
        <v>3059.18</v>
      </c>
      <c r="F16" s="135">
        <f t="shared" si="9"/>
        <v>2121.08</v>
      </c>
      <c r="G16" s="135">
        <f t="shared" si="1"/>
        <v>5180.26</v>
      </c>
      <c r="H16" s="136"/>
      <c r="I16" s="135">
        <f>ROUND($I$74+$C16*$I$75+$D16*$I$76,2)</f>
        <v>3435.86</v>
      </c>
      <c r="J16" s="135">
        <f t="shared" si="11"/>
        <v>2121.08</v>
      </c>
      <c r="K16" s="135">
        <f t="shared" si="2"/>
        <v>5556.9400000000005</v>
      </c>
      <c r="L16" s="136"/>
      <c r="M16" s="135">
        <f t="shared" si="3"/>
        <v>376.68000000000029</v>
      </c>
      <c r="N16" s="137">
        <f t="shared" si="4"/>
        <v>7.2714496955751315E-2</v>
      </c>
      <c r="O16" s="135"/>
      <c r="P16" s="135">
        <f t="shared" ref="P16:P38" si="18">ROUND($J$74+$C16*$J$75+$D16*$J$76,2)</f>
        <v>3495.89</v>
      </c>
      <c r="Q16" s="135">
        <f>ROUND($D16*$J$77,2)</f>
        <v>2121.08</v>
      </c>
      <c r="R16" s="135">
        <f t="shared" si="5"/>
        <v>5616.9699999999993</v>
      </c>
      <c r="S16" s="136"/>
      <c r="T16" s="135">
        <f t="shared" si="13"/>
        <v>60.029999999998836</v>
      </c>
      <c r="U16" s="137">
        <f t="shared" si="14"/>
        <v>1.0802707965174867E-2</v>
      </c>
      <c r="V16" s="135"/>
      <c r="W16" s="135">
        <f t="shared" ref="W16:W38" si="19">ROUND($K$74+$C16*$K$75+$D16*$K$76,2)</f>
        <v>3491.82</v>
      </c>
      <c r="X16" s="135">
        <f>ROUND($D16*$K$77,2)</f>
        <v>2121.08</v>
      </c>
      <c r="Y16" s="135">
        <f t="shared" si="6"/>
        <v>5612.9</v>
      </c>
      <c r="Z16" s="136"/>
      <c r="AA16" s="135">
        <f t="shared" si="16"/>
        <v>-4.069999999999709</v>
      </c>
      <c r="AB16" s="137">
        <f t="shared" si="17"/>
        <v>-7.2458994796121569E-4</v>
      </c>
      <c r="AC16" s="136"/>
      <c r="AD16" s="136"/>
      <c r="AE16" s="136"/>
      <c r="AF16" s="136"/>
      <c r="AG16" s="136"/>
      <c r="AH16" s="136"/>
      <c r="AI16" s="136"/>
    </row>
    <row r="17" spans="1:35" x14ac:dyDescent="0.3">
      <c r="A17" s="1">
        <f t="shared" si="0"/>
        <v>17</v>
      </c>
      <c r="B17" s="31"/>
      <c r="C17" s="105">
        <v>140</v>
      </c>
      <c r="D17" s="106">
        <f t="shared" si="7"/>
        <v>25900</v>
      </c>
      <c r="E17" s="135">
        <f t="shared" si="8"/>
        <v>3863.51</v>
      </c>
      <c r="F17" s="135">
        <f>ROUND($D17*$G$77,2)</f>
        <v>2699.56</v>
      </c>
      <c r="G17" s="135">
        <f t="shared" si="1"/>
        <v>6563.07</v>
      </c>
      <c r="H17" s="136"/>
      <c r="I17" s="135">
        <f t="shared" si="10"/>
        <v>4342.91</v>
      </c>
      <c r="J17" s="135">
        <f>ROUND($D17*$I$77,2)</f>
        <v>2699.56</v>
      </c>
      <c r="K17" s="135">
        <f t="shared" si="2"/>
        <v>7042.4699999999993</v>
      </c>
      <c r="L17" s="136"/>
      <c r="M17" s="135">
        <f t="shared" si="3"/>
        <v>479.39999999999964</v>
      </c>
      <c r="N17" s="137">
        <f t="shared" si="4"/>
        <v>7.3045084084125217E-2</v>
      </c>
      <c r="O17" s="135"/>
      <c r="P17" s="135">
        <f t="shared" si="18"/>
        <v>4419.32</v>
      </c>
      <c r="Q17" s="135">
        <f t="shared" si="12"/>
        <v>2699.56</v>
      </c>
      <c r="R17" s="135">
        <f t="shared" si="5"/>
        <v>7118.8799999999992</v>
      </c>
      <c r="S17" s="136"/>
      <c r="T17" s="135">
        <f t="shared" si="13"/>
        <v>76.409999999999854</v>
      </c>
      <c r="U17" s="137">
        <f t="shared" si="14"/>
        <v>1.0849886474489754E-2</v>
      </c>
      <c r="V17" s="135"/>
      <c r="W17" s="135">
        <f t="shared" si="19"/>
        <v>4414.1400000000003</v>
      </c>
      <c r="X17" s="135">
        <f t="shared" si="15"/>
        <v>2699.56</v>
      </c>
      <c r="Y17" s="135">
        <f t="shared" si="6"/>
        <v>7113.7000000000007</v>
      </c>
      <c r="Z17" s="136"/>
      <c r="AA17" s="135">
        <f t="shared" si="16"/>
        <v>-5.179999999998472</v>
      </c>
      <c r="AB17" s="137">
        <f t="shared" si="17"/>
        <v>-7.2764255051334934E-4</v>
      </c>
      <c r="AC17" s="136"/>
      <c r="AD17" s="136"/>
      <c r="AE17" s="136"/>
      <c r="AF17" s="136"/>
      <c r="AG17" s="136"/>
      <c r="AH17" s="136"/>
      <c r="AI17" s="136"/>
    </row>
    <row r="18" spans="1:35" x14ac:dyDescent="0.3">
      <c r="A18" s="1">
        <f t="shared" si="0"/>
        <v>18</v>
      </c>
      <c r="B18" s="31"/>
      <c r="C18" s="105">
        <v>180</v>
      </c>
      <c r="D18" s="106">
        <f t="shared" si="7"/>
        <v>33300</v>
      </c>
      <c r="E18" s="135">
        <f t="shared" si="8"/>
        <v>4935.9399999999996</v>
      </c>
      <c r="F18" s="135">
        <f t="shared" si="9"/>
        <v>3470.86</v>
      </c>
      <c r="G18" s="135">
        <f t="shared" si="1"/>
        <v>8406.7999999999993</v>
      </c>
      <c r="H18" s="136"/>
      <c r="I18" s="135">
        <f t="shared" si="10"/>
        <v>5552.32</v>
      </c>
      <c r="J18" s="135">
        <f t="shared" si="11"/>
        <v>3470.86</v>
      </c>
      <c r="K18" s="135">
        <f t="shared" si="2"/>
        <v>9023.18</v>
      </c>
      <c r="L18" s="136"/>
      <c r="M18" s="135">
        <f t="shared" si="3"/>
        <v>616.38000000000102</v>
      </c>
      <c r="N18" s="137">
        <f t="shared" si="4"/>
        <v>7.331921777608616E-2</v>
      </c>
      <c r="O18" s="135"/>
      <c r="P18" s="135">
        <f t="shared" si="18"/>
        <v>5650.55</v>
      </c>
      <c r="Q18" s="135">
        <f t="shared" si="12"/>
        <v>3470.86</v>
      </c>
      <c r="R18" s="135">
        <f t="shared" si="5"/>
        <v>9121.41</v>
      </c>
      <c r="S18" s="136"/>
      <c r="T18" s="135">
        <f t="shared" si="13"/>
        <v>98.229999999999563</v>
      </c>
      <c r="U18" s="137">
        <f t="shared" si="14"/>
        <v>1.088640590124541E-2</v>
      </c>
      <c r="V18" s="135"/>
      <c r="W18" s="135">
        <f t="shared" si="19"/>
        <v>5643.89</v>
      </c>
      <c r="X18" s="135">
        <f t="shared" si="15"/>
        <v>3470.86</v>
      </c>
      <c r="Y18" s="135">
        <f t="shared" si="6"/>
        <v>9114.75</v>
      </c>
      <c r="Z18" s="136"/>
      <c r="AA18" s="135">
        <f t="shared" si="16"/>
        <v>-6.6599999999998545</v>
      </c>
      <c r="AB18" s="137">
        <f t="shared" si="17"/>
        <v>-7.301502728196468E-4</v>
      </c>
      <c r="AC18" s="136"/>
      <c r="AD18" s="136"/>
      <c r="AE18" s="136"/>
      <c r="AF18" s="136"/>
      <c r="AG18" s="136"/>
      <c r="AH18" s="136"/>
      <c r="AI18" s="136"/>
    </row>
    <row r="19" spans="1:35" x14ac:dyDescent="0.3">
      <c r="A19" s="1">
        <f t="shared" si="0"/>
        <v>19</v>
      </c>
      <c r="B19" s="31"/>
      <c r="C19" s="105">
        <v>260</v>
      </c>
      <c r="D19" s="106">
        <f t="shared" si="7"/>
        <v>48100</v>
      </c>
      <c r="E19" s="135">
        <f t="shared" si="8"/>
        <v>7080.8</v>
      </c>
      <c r="F19" s="135">
        <f t="shared" si="9"/>
        <v>5013.46</v>
      </c>
      <c r="G19" s="135">
        <f t="shared" si="1"/>
        <v>12094.26</v>
      </c>
      <c r="H19" s="136"/>
      <c r="I19" s="135">
        <f t="shared" si="10"/>
        <v>7971.13</v>
      </c>
      <c r="J19" s="135">
        <f t="shared" si="11"/>
        <v>5013.46</v>
      </c>
      <c r="K19" s="135">
        <f t="shared" si="2"/>
        <v>12984.59</v>
      </c>
      <c r="L19" s="136"/>
      <c r="M19" s="135">
        <f t="shared" si="3"/>
        <v>890.32999999999993</v>
      </c>
      <c r="N19" s="137">
        <f t="shared" si="4"/>
        <v>7.3615913664829419E-2</v>
      </c>
      <c r="O19" s="135"/>
      <c r="P19" s="135">
        <f t="shared" si="18"/>
        <v>8113.02</v>
      </c>
      <c r="Q19" s="135">
        <f t="shared" si="12"/>
        <v>5013.46</v>
      </c>
      <c r="R19" s="135">
        <f t="shared" si="5"/>
        <v>13126.48</v>
      </c>
      <c r="S19" s="136"/>
      <c r="T19" s="135">
        <f t="shared" si="13"/>
        <v>141.88999999999942</v>
      </c>
      <c r="U19" s="137">
        <f t="shared" si="14"/>
        <v>1.0927568756502856E-2</v>
      </c>
      <c r="V19" s="135"/>
      <c r="W19" s="135">
        <f t="shared" si="19"/>
        <v>8103.4</v>
      </c>
      <c r="X19" s="135">
        <f t="shared" si="15"/>
        <v>5013.46</v>
      </c>
      <c r="Y19" s="135">
        <f t="shared" si="6"/>
        <v>13116.86</v>
      </c>
      <c r="Z19" s="136"/>
      <c r="AA19" s="135">
        <f t="shared" si="16"/>
        <v>-9.6199999999989814</v>
      </c>
      <c r="AB19" s="137">
        <f t="shared" si="17"/>
        <v>-7.3286974116434727E-4</v>
      </c>
      <c r="AC19" s="136"/>
      <c r="AD19" s="136"/>
      <c r="AE19" s="136"/>
      <c r="AF19" s="136"/>
      <c r="AG19" s="136"/>
      <c r="AH19" s="136"/>
      <c r="AI19" s="136"/>
    </row>
    <row r="20" spans="1:35" x14ac:dyDescent="0.3">
      <c r="A20" s="1">
        <f t="shared" si="0"/>
        <v>20</v>
      </c>
      <c r="B20" s="31" t="s">
        <v>52</v>
      </c>
      <c r="C20" s="105">
        <v>140</v>
      </c>
      <c r="D20" s="106">
        <f t="shared" si="7"/>
        <v>25900</v>
      </c>
      <c r="E20" s="135">
        <f t="shared" si="8"/>
        <v>3863.51</v>
      </c>
      <c r="F20" s="135">
        <f t="shared" si="9"/>
        <v>2699.56</v>
      </c>
      <c r="G20" s="135">
        <f t="shared" si="1"/>
        <v>6563.07</v>
      </c>
      <c r="H20" s="136"/>
      <c r="I20" s="135">
        <f t="shared" si="10"/>
        <v>4342.91</v>
      </c>
      <c r="J20" s="135">
        <f t="shared" si="11"/>
        <v>2699.56</v>
      </c>
      <c r="K20" s="135">
        <f t="shared" si="2"/>
        <v>7042.4699999999993</v>
      </c>
      <c r="L20" s="136"/>
      <c r="M20" s="135">
        <f t="shared" si="3"/>
        <v>479.39999999999964</v>
      </c>
      <c r="N20" s="137">
        <f t="shared" si="4"/>
        <v>7.3045084084125217E-2</v>
      </c>
      <c r="O20" s="135"/>
      <c r="P20" s="135">
        <f t="shared" si="18"/>
        <v>4419.32</v>
      </c>
      <c r="Q20" s="135">
        <f t="shared" si="12"/>
        <v>2699.56</v>
      </c>
      <c r="R20" s="135">
        <f t="shared" si="5"/>
        <v>7118.8799999999992</v>
      </c>
      <c r="S20" s="136"/>
      <c r="T20" s="135">
        <f t="shared" si="13"/>
        <v>76.409999999999854</v>
      </c>
      <c r="U20" s="137">
        <f t="shared" si="14"/>
        <v>1.0849886474489754E-2</v>
      </c>
      <c r="V20" s="135"/>
      <c r="W20" s="135">
        <f t="shared" si="19"/>
        <v>4414.1400000000003</v>
      </c>
      <c r="X20" s="135">
        <f t="shared" si="15"/>
        <v>2699.56</v>
      </c>
      <c r="Y20" s="135">
        <f t="shared" si="6"/>
        <v>7113.7000000000007</v>
      </c>
      <c r="Z20" s="136"/>
      <c r="AA20" s="135">
        <f t="shared" si="16"/>
        <v>-5.179999999998472</v>
      </c>
      <c r="AB20" s="137">
        <f t="shared" si="17"/>
        <v>-7.2764255051334934E-4</v>
      </c>
      <c r="AC20" s="136"/>
      <c r="AD20" s="136"/>
      <c r="AE20" s="136"/>
      <c r="AF20" s="136"/>
      <c r="AG20" s="136"/>
      <c r="AH20" s="136"/>
      <c r="AI20" s="136"/>
    </row>
    <row r="21" spans="1:35" x14ac:dyDescent="0.3">
      <c r="A21" s="1">
        <f t="shared" si="0"/>
        <v>21</v>
      </c>
      <c r="B21" s="31"/>
      <c r="C21" s="158"/>
      <c r="D21" s="158"/>
      <c r="E21" s="135"/>
      <c r="F21" s="135"/>
      <c r="G21" s="153"/>
      <c r="H21" s="159"/>
      <c r="I21" s="135"/>
      <c r="J21" s="135"/>
      <c r="K21" s="153"/>
      <c r="L21" s="159"/>
      <c r="M21" s="153"/>
      <c r="N21" s="160"/>
      <c r="O21" s="153"/>
      <c r="P21" s="135"/>
      <c r="Q21" s="135"/>
      <c r="R21" s="153"/>
      <c r="S21" s="159"/>
      <c r="T21" s="135"/>
      <c r="U21" s="137"/>
      <c r="V21" s="153"/>
      <c r="W21" s="135"/>
      <c r="X21" s="135"/>
      <c r="Y21" s="153"/>
      <c r="Z21" s="159"/>
      <c r="AA21" s="135"/>
      <c r="AB21" s="137"/>
    </row>
    <row r="22" spans="1:35" x14ac:dyDescent="0.3">
      <c r="A22" s="1">
        <f t="shared" si="0"/>
        <v>22</v>
      </c>
      <c r="B22" s="31"/>
      <c r="C22" s="164" t="s">
        <v>126</v>
      </c>
      <c r="D22" s="104">
        <v>350</v>
      </c>
      <c r="E22" s="135"/>
      <c r="F22" s="135"/>
      <c r="G22" s="153"/>
      <c r="H22" s="159"/>
      <c r="I22" s="135"/>
      <c r="J22" s="135"/>
      <c r="K22" s="153"/>
      <c r="L22" s="159"/>
      <c r="M22" s="153"/>
      <c r="N22" s="160"/>
      <c r="O22" s="153"/>
      <c r="P22" s="135"/>
      <c r="Q22" s="135"/>
      <c r="R22" s="153"/>
      <c r="S22" s="159"/>
      <c r="T22" s="135"/>
      <c r="U22" s="137"/>
      <c r="V22" s="153"/>
      <c r="W22" s="135"/>
      <c r="X22" s="135"/>
      <c r="Y22" s="153"/>
      <c r="Z22" s="159"/>
      <c r="AA22" s="135"/>
      <c r="AB22" s="137"/>
    </row>
    <row r="23" spans="1:35" x14ac:dyDescent="0.3">
      <c r="A23" s="1">
        <f t="shared" si="0"/>
        <v>23</v>
      </c>
      <c r="B23" s="31"/>
      <c r="C23" s="105">
        <v>50</v>
      </c>
      <c r="D23" s="106">
        <f>C23*$D$22</f>
        <v>17500</v>
      </c>
      <c r="E23" s="135">
        <f t="shared" si="8"/>
        <v>1615.13</v>
      </c>
      <c r="F23" s="135">
        <f t="shared" si="9"/>
        <v>1824.03</v>
      </c>
      <c r="G23" s="135">
        <f t="shared" ref="G23:G29" si="20">SUM(E23:F23)</f>
        <v>3439.16</v>
      </c>
      <c r="H23" s="136"/>
      <c r="I23" s="135">
        <f t="shared" si="10"/>
        <v>1939.05</v>
      </c>
      <c r="J23" s="135">
        <f t="shared" si="11"/>
        <v>1824.03</v>
      </c>
      <c r="K23" s="135">
        <f t="shared" ref="K23:K29" si="21">SUM(I23:J23)</f>
        <v>3763.08</v>
      </c>
      <c r="L23" s="136"/>
      <c r="M23" s="135">
        <f t="shared" ref="M23:M29" si="22">+K23-G23</f>
        <v>323.92000000000007</v>
      </c>
      <c r="N23" s="137">
        <f t="shared" ref="N23:N29" si="23">+M23/G23</f>
        <v>9.4185789553263025E-2</v>
      </c>
      <c r="O23" s="135"/>
      <c r="P23" s="135">
        <f t="shared" si="18"/>
        <v>1990.68</v>
      </c>
      <c r="Q23" s="135">
        <f t="shared" si="12"/>
        <v>1824.03</v>
      </c>
      <c r="R23" s="135">
        <f t="shared" ref="R23:R29" si="24">SUM(P23:Q23)</f>
        <v>3814.71</v>
      </c>
      <c r="S23" s="136"/>
      <c r="T23" s="135">
        <f t="shared" si="13"/>
        <v>51.630000000000109</v>
      </c>
      <c r="U23" s="137">
        <f t="shared" si="14"/>
        <v>1.3720144137249304E-2</v>
      </c>
      <c r="V23" s="135"/>
      <c r="W23" s="135">
        <f t="shared" si="19"/>
        <v>1987.18</v>
      </c>
      <c r="X23" s="135">
        <f t="shared" si="15"/>
        <v>1824.03</v>
      </c>
      <c r="Y23" s="135">
        <f t="shared" ref="Y23:Y29" si="25">SUM(W23:X23)</f>
        <v>3811.21</v>
      </c>
      <c r="Z23" s="136"/>
      <c r="AA23" s="135">
        <f t="shared" si="16"/>
        <v>-3.5</v>
      </c>
      <c r="AB23" s="137">
        <f t="shared" si="17"/>
        <v>-9.1750093716167153E-4</v>
      </c>
      <c r="AC23" s="136"/>
      <c r="AD23" s="136"/>
      <c r="AE23" s="136"/>
      <c r="AF23" s="136"/>
      <c r="AG23" s="136"/>
      <c r="AH23" s="136"/>
      <c r="AI23" s="136"/>
    </row>
    <row r="24" spans="1:35" x14ac:dyDescent="0.3">
      <c r="A24" s="1">
        <f t="shared" si="0"/>
        <v>24</v>
      </c>
      <c r="B24" s="31"/>
      <c r="C24" s="105">
        <v>80</v>
      </c>
      <c r="D24" s="106">
        <f t="shared" ref="D24:D29" si="26">C24*$D$22</f>
        <v>28000</v>
      </c>
      <c r="E24" s="135">
        <f t="shared" si="8"/>
        <v>2518.1999999999998</v>
      </c>
      <c r="F24" s="135">
        <f t="shared" si="9"/>
        <v>2918.44</v>
      </c>
      <c r="G24" s="135">
        <f t="shared" si="20"/>
        <v>5436.6399999999994</v>
      </c>
      <c r="H24" s="136"/>
      <c r="I24" s="135">
        <f t="shared" si="10"/>
        <v>3036.48</v>
      </c>
      <c r="J24" s="135">
        <f t="shared" si="11"/>
        <v>2918.44</v>
      </c>
      <c r="K24" s="135">
        <f t="shared" si="21"/>
        <v>5954.92</v>
      </c>
      <c r="L24" s="136"/>
      <c r="M24" s="135">
        <f t="shared" si="22"/>
        <v>518.28000000000065</v>
      </c>
      <c r="N24" s="137">
        <f t="shared" si="23"/>
        <v>9.5330939698048928E-2</v>
      </c>
      <c r="O24" s="135"/>
      <c r="P24" s="135">
        <f>ROUND($J$74+$C24*$J$75+$D24*$J$76,2)</f>
        <v>3119.08</v>
      </c>
      <c r="Q24" s="135">
        <f t="shared" si="12"/>
        <v>2918.44</v>
      </c>
      <c r="R24" s="135">
        <f t="shared" si="24"/>
        <v>6037.52</v>
      </c>
      <c r="S24" s="136"/>
      <c r="T24" s="135">
        <f t="shared" si="13"/>
        <v>82.600000000000364</v>
      </c>
      <c r="U24" s="137">
        <f t="shared" si="14"/>
        <v>1.3870883236046893E-2</v>
      </c>
      <c r="V24" s="135"/>
      <c r="W24" s="135">
        <f t="shared" si="19"/>
        <v>3113.48</v>
      </c>
      <c r="X24" s="135">
        <f t="shared" si="15"/>
        <v>2918.44</v>
      </c>
      <c r="Y24" s="135">
        <f t="shared" si="25"/>
        <v>6031.92</v>
      </c>
      <c r="Z24" s="136"/>
      <c r="AA24" s="135">
        <f t="shared" si="16"/>
        <v>-5.6000000000003638</v>
      </c>
      <c r="AB24" s="137">
        <f t="shared" si="17"/>
        <v>-9.2753315931050557E-4</v>
      </c>
      <c r="AC24" s="136"/>
      <c r="AD24" s="136"/>
      <c r="AE24" s="136"/>
      <c r="AF24" s="136"/>
      <c r="AG24" s="136"/>
      <c r="AH24" s="136"/>
      <c r="AI24" s="136"/>
    </row>
    <row r="25" spans="1:35" x14ac:dyDescent="0.3">
      <c r="A25" s="1">
        <f t="shared" si="0"/>
        <v>25</v>
      </c>
      <c r="B25" s="31"/>
      <c r="C25" s="105">
        <v>100</v>
      </c>
      <c r="D25" s="106">
        <f t="shared" si="26"/>
        <v>35000</v>
      </c>
      <c r="E25" s="135">
        <f t="shared" si="8"/>
        <v>3120.25</v>
      </c>
      <c r="F25" s="135">
        <f t="shared" si="9"/>
        <v>3648.05</v>
      </c>
      <c r="G25" s="135">
        <f t="shared" si="20"/>
        <v>6768.3</v>
      </c>
      <c r="H25" s="136"/>
      <c r="I25" s="135">
        <f>ROUND($I$74+$C25*$I$75+$D25*$I$76,2)</f>
        <v>3768.1</v>
      </c>
      <c r="J25" s="135">
        <f t="shared" si="11"/>
        <v>3648.05</v>
      </c>
      <c r="K25" s="135">
        <f t="shared" si="21"/>
        <v>7416.15</v>
      </c>
      <c r="L25" s="136"/>
      <c r="M25" s="135">
        <f t="shared" si="22"/>
        <v>647.84999999999945</v>
      </c>
      <c r="N25" s="137">
        <f t="shared" si="23"/>
        <v>9.5718274899162181E-2</v>
      </c>
      <c r="O25" s="135"/>
      <c r="P25" s="135">
        <f t="shared" si="18"/>
        <v>3871.35</v>
      </c>
      <c r="Q25" s="135">
        <f t="shared" si="12"/>
        <v>3648.05</v>
      </c>
      <c r="R25" s="135">
        <f t="shared" si="24"/>
        <v>7519.4</v>
      </c>
      <c r="S25" s="136"/>
      <c r="T25" s="135">
        <f t="shared" si="13"/>
        <v>103.25</v>
      </c>
      <c r="U25" s="137">
        <f t="shared" si="14"/>
        <v>1.3922318183963379E-2</v>
      </c>
      <c r="V25" s="135"/>
      <c r="W25" s="135">
        <f t="shared" si="19"/>
        <v>3864.35</v>
      </c>
      <c r="X25" s="135">
        <f t="shared" si="15"/>
        <v>3648.05</v>
      </c>
      <c r="Y25" s="135">
        <f t="shared" si="25"/>
        <v>7512.4</v>
      </c>
      <c r="Z25" s="136"/>
      <c r="AA25" s="135">
        <f t="shared" si="16"/>
        <v>-7</v>
      </c>
      <c r="AB25" s="137">
        <f t="shared" si="17"/>
        <v>-9.3092533978774903E-4</v>
      </c>
      <c r="AC25" s="136"/>
      <c r="AD25" s="136"/>
      <c r="AE25" s="136"/>
      <c r="AF25" s="136"/>
      <c r="AG25" s="136"/>
      <c r="AH25" s="136"/>
      <c r="AI25" s="136"/>
    </row>
    <row r="26" spans="1:35" x14ac:dyDescent="0.3">
      <c r="A26" s="1">
        <f t="shared" si="0"/>
        <v>26</v>
      </c>
      <c r="B26" s="31"/>
      <c r="C26" s="105">
        <v>120</v>
      </c>
      <c r="D26" s="106">
        <f t="shared" si="26"/>
        <v>42000</v>
      </c>
      <c r="E26" s="135">
        <f>ROUND($G$74+$C26*$G$75+$D26*$G$76,2)</f>
        <v>3722.3</v>
      </c>
      <c r="F26" s="135">
        <f>ROUND($D26*$G$77,2)</f>
        <v>4377.66</v>
      </c>
      <c r="G26" s="135">
        <f t="shared" si="20"/>
        <v>8099.96</v>
      </c>
      <c r="H26" s="136"/>
      <c r="I26" s="135">
        <f t="shared" si="10"/>
        <v>4499.72</v>
      </c>
      <c r="J26" s="135">
        <f>ROUND($D26*$I$77,2)</f>
        <v>4377.66</v>
      </c>
      <c r="K26" s="135">
        <f t="shared" si="21"/>
        <v>8877.380000000001</v>
      </c>
      <c r="L26" s="136"/>
      <c r="M26" s="135">
        <f t="shared" si="22"/>
        <v>777.42000000000098</v>
      </c>
      <c r="N26" s="137">
        <f t="shared" si="23"/>
        <v>9.597825174445318E-2</v>
      </c>
      <c r="O26" s="135"/>
      <c r="P26" s="135">
        <f t="shared" si="18"/>
        <v>4623.62</v>
      </c>
      <c r="Q26" s="135">
        <f>ROUND($D26*$J$77,2)</f>
        <v>4377.66</v>
      </c>
      <c r="R26" s="135">
        <f t="shared" si="24"/>
        <v>9001.2799999999988</v>
      </c>
      <c r="S26" s="136"/>
      <c r="T26" s="135">
        <f t="shared" si="13"/>
        <v>123.89999999999782</v>
      </c>
      <c r="U26" s="137">
        <f t="shared" si="14"/>
        <v>1.395682059346314E-2</v>
      </c>
      <c r="V26" s="135"/>
      <c r="W26" s="135">
        <f>ROUND($K$74+$C26*$K$75+$D26*$K$76,2)</f>
        <v>4615.22</v>
      </c>
      <c r="X26" s="135">
        <f t="shared" si="15"/>
        <v>4377.66</v>
      </c>
      <c r="Y26" s="135">
        <f t="shared" si="25"/>
        <v>8992.880000000001</v>
      </c>
      <c r="Z26" s="136"/>
      <c r="AA26" s="135">
        <f t="shared" si="16"/>
        <v>-8.3999999999978172</v>
      </c>
      <c r="AB26" s="137">
        <f t="shared" si="17"/>
        <v>-9.3320061146834874E-4</v>
      </c>
      <c r="AC26" s="136"/>
      <c r="AD26" s="136"/>
      <c r="AE26" s="136"/>
      <c r="AF26" s="136"/>
      <c r="AG26" s="136"/>
      <c r="AH26" s="136"/>
      <c r="AI26" s="136"/>
    </row>
    <row r="27" spans="1:35" x14ac:dyDescent="0.3">
      <c r="A27" s="1">
        <f t="shared" si="0"/>
        <v>27</v>
      </c>
      <c r="B27" s="31"/>
      <c r="C27" s="105">
        <v>150</v>
      </c>
      <c r="D27" s="106">
        <f t="shared" si="26"/>
        <v>52500</v>
      </c>
      <c r="E27" s="135">
        <f t="shared" si="8"/>
        <v>4625.38</v>
      </c>
      <c r="F27" s="135">
        <f t="shared" si="9"/>
        <v>5472.08</v>
      </c>
      <c r="G27" s="135">
        <f t="shared" si="20"/>
        <v>10097.459999999999</v>
      </c>
      <c r="H27" s="136"/>
      <c r="I27" s="135">
        <f t="shared" si="10"/>
        <v>5597.15</v>
      </c>
      <c r="J27" s="135">
        <f t="shared" si="11"/>
        <v>5472.08</v>
      </c>
      <c r="K27" s="135">
        <f t="shared" si="21"/>
        <v>11069.23</v>
      </c>
      <c r="L27" s="136"/>
      <c r="M27" s="135">
        <f t="shared" si="22"/>
        <v>971.77000000000044</v>
      </c>
      <c r="N27" s="137">
        <f t="shared" si="23"/>
        <v>9.623905417798144E-2</v>
      </c>
      <c r="O27" s="135"/>
      <c r="P27" s="135">
        <f t="shared" si="18"/>
        <v>5752.03</v>
      </c>
      <c r="Q27" s="135">
        <f t="shared" si="12"/>
        <v>5472.08</v>
      </c>
      <c r="R27" s="135">
        <f t="shared" si="24"/>
        <v>11224.11</v>
      </c>
      <c r="S27" s="136"/>
      <c r="T27" s="135">
        <f t="shared" si="13"/>
        <v>154.88000000000102</v>
      </c>
      <c r="U27" s="137">
        <f t="shared" si="14"/>
        <v>1.3991939818758941E-2</v>
      </c>
      <c r="V27" s="135"/>
      <c r="W27" s="135">
        <f t="shared" si="19"/>
        <v>5741.53</v>
      </c>
      <c r="X27" s="135">
        <f>ROUND($D27*$K$77,2)</f>
        <v>5472.08</v>
      </c>
      <c r="Y27" s="135">
        <f t="shared" si="25"/>
        <v>11213.61</v>
      </c>
      <c r="Z27" s="136"/>
      <c r="AA27" s="135">
        <f t="shared" si="16"/>
        <v>-10.5</v>
      </c>
      <c r="AB27" s="137">
        <f t="shared" si="17"/>
        <v>-9.3548619890574834E-4</v>
      </c>
      <c r="AC27" s="136"/>
      <c r="AD27" s="136"/>
      <c r="AE27" s="136"/>
      <c r="AF27" s="136"/>
      <c r="AG27" s="136"/>
      <c r="AH27" s="136"/>
      <c r="AI27" s="136"/>
    </row>
    <row r="28" spans="1:35" x14ac:dyDescent="0.3">
      <c r="A28" s="1">
        <f t="shared" si="0"/>
        <v>28</v>
      </c>
      <c r="B28" s="31"/>
      <c r="C28" s="105">
        <v>230</v>
      </c>
      <c r="D28" s="106">
        <f t="shared" si="26"/>
        <v>80500</v>
      </c>
      <c r="E28" s="135">
        <f t="shared" si="8"/>
        <v>7033.58</v>
      </c>
      <c r="F28" s="135">
        <f t="shared" si="9"/>
        <v>8390.52</v>
      </c>
      <c r="G28" s="135">
        <f t="shared" si="20"/>
        <v>15424.1</v>
      </c>
      <c r="H28" s="136"/>
      <c r="I28" s="135">
        <f t="shared" si="10"/>
        <v>8523.6299999999992</v>
      </c>
      <c r="J28" s="135">
        <f t="shared" si="11"/>
        <v>8390.52</v>
      </c>
      <c r="K28" s="135">
        <f t="shared" si="21"/>
        <v>16914.150000000001</v>
      </c>
      <c r="L28" s="136"/>
      <c r="M28" s="135">
        <f t="shared" si="22"/>
        <v>1490.0500000000011</v>
      </c>
      <c r="N28" s="137">
        <f t="shared" si="23"/>
        <v>9.6605312465557217E-2</v>
      </c>
      <c r="O28" s="135"/>
      <c r="P28" s="135">
        <f t="shared" si="18"/>
        <v>8761.11</v>
      </c>
      <c r="Q28" s="135">
        <f t="shared" si="12"/>
        <v>8390.52</v>
      </c>
      <c r="R28" s="135">
        <f t="shared" si="24"/>
        <v>17151.63</v>
      </c>
      <c r="S28" s="136"/>
      <c r="T28" s="135">
        <f t="shared" si="13"/>
        <v>237.47999999999956</v>
      </c>
      <c r="U28" s="137">
        <f t="shared" si="14"/>
        <v>1.4040315357260018E-2</v>
      </c>
      <c r="V28" s="135"/>
      <c r="W28" s="135">
        <f t="shared" si="19"/>
        <v>8745.01</v>
      </c>
      <c r="X28" s="135">
        <f t="shared" si="15"/>
        <v>8390.52</v>
      </c>
      <c r="Y28" s="135">
        <f t="shared" si="25"/>
        <v>17135.53</v>
      </c>
      <c r="Z28" s="136"/>
      <c r="AA28" s="135">
        <f t="shared" si="16"/>
        <v>-16.100000000002183</v>
      </c>
      <c r="AB28" s="137">
        <f t="shared" si="17"/>
        <v>-9.3868629395586203E-4</v>
      </c>
      <c r="AC28" s="136"/>
      <c r="AD28" s="136"/>
      <c r="AE28" s="136"/>
      <c r="AF28" s="136"/>
      <c r="AG28" s="136"/>
      <c r="AH28" s="136"/>
      <c r="AI28" s="136"/>
    </row>
    <row r="29" spans="1:35" x14ac:dyDescent="0.3">
      <c r="A29" s="1">
        <f t="shared" si="0"/>
        <v>29</v>
      </c>
      <c r="B29" s="31" t="s">
        <v>52</v>
      </c>
      <c r="C29" s="106">
        <v>122</v>
      </c>
      <c r="D29" s="106">
        <f t="shared" si="26"/>
        <v>42700</v>
      </c>
      <c r="E29" s="135">
        <f t="shared" si="8"/>
        <v>3782.51</v>
      </c>
      <c r="F29" s="135">
        <f t="shared" si="9"/>
        <v>4450.62</v>
      </c>
      <c r="G29" s="135">
        <f t="shared" si="20"/>
        <v>8233.130000000001</v>
      </c>
      <c r="H29" s="136"/>
      <c r="I29" s="135">
        <f t="shared" si="10"/>
        <v>4572.88</v>
      </c>
      <c r="J29" s="135">
        <f t="shared" si="11"/>
        <v>4450.62</v>
      </c>
      <c r="K29" s="135">
        <f t="shared" si="21"/>
        <v>9023.5</v>
      </c>
      <c r="L29" s="136"/>
      <c r="M29" s="135">
        <f t="shared" si="22"/>
        <v>790.36999999999898</v>
      </c>
      <c r="N29" s="137">
        <f t="shared" si="23"/>
        <v>9.59987270940698E-2</v>
      </c>
      <c r="O29" s="135"/>
      <c r="P29" s="135">
        <f t="shared" si="18"/>
        <v>4698.8500000000004</v>
      </c>
      <c r="Q29" s="135">
        <f t="shared" si="12"/>
        <v>4450.62</v>
      </c>
      <c r="R29" s="135">
        <f t="shared" si="24"/>
        <v>9149.4700000000012</v>
      </c>
      <c r="S29" s="136"/>
      <c r="T29" s="135">
        <f t="shared" si="13"/>
        <v>125.97000000000116</v>
      </c>
      <c r="U29" s="137">
        <f t="shared" si="14"/>
        <v>1.3960214994181987E-2</v>
      </c>
      <c r="V29" s="135"/>
      <c r="W29" s="135">
        <f t="shared" si="19"/>
        <v>4690.3100000000004</v>
      </c>
      <c r="X29" s="135">
        <f t="shared" si="15"/>
        <v>4450.62</v>
      </c>
      <c r="Y29" s="135">
        <f t="shared" si="25"/>
        <v>9140.93</v>
      </c>
      <c r="Z29" s="136"/>
      <c r="AA29" s="135">
        <f t="shared" si="16"/>
        <v>-8.5400000000008731</v>
      </c>
      <c r="AB29" s="137">
        <f t="shared" si="17"/>
        <v>-9.3338739839584934E-4</v>
      </c>
      <c r="AC29" s="136"/>
      <c r="AD29" s="136"/>
      <c r="AE29" s="136"/>
      <c r="AF29" s="136"/>
      <c r="AG29" s="136"/>
      <c r="AH29" s="136"/>
      <c r="AI29" s="136"/>
    </row>
    <row r="30" spans="1:35" x14ac:dyDescent="0.3">
      <c r="A30" s="1">
        <f t="shared" si="0"/>
        <v>30</v>
      </c>
      <c r="B30" s="31"/>
      <c r="C30" s="158"/>
      <c r="D30" s="158"/>
      <c r="E30" s="135"/>
      <c r="F30" s="135"/>
      <c r="G30" s="153"/>
      <c r="H30" s="159"/>
      <c r="I30" s="135"/>
      <c r="J30" s="135"/>
      <c r="K30" s="153"/>
      <c r="L30" s="159"/>
      <c r="M30" s="153"/>
      <c r="N30" s="160"/>
      <c r="O30" s="153"/>
      <c r="P30" s="135"/>
      <c r="Q30" s="135"/>
      <c r="R30" s="153"/>
      <c r="S30" s="159"/>
      <c r="T30" s="135"/>
      <c r="U30" s="137"/>
      <c r="V30" s="153"/>
      <c r="W30" s="135"/>
      <c r="X30" s="135"/>
      <c r="Y30" s="153"/>
      <c r="Z30" s="159"/>
      <c r="AA30" s="135"/>
      <c r="AB30" s="137"/>
      <c r="AC30" s="188"/>
    </row>
    <row r="31" spans="1:35" x14ac:dyDescent="0.3">
      <c r="A31" s="1">
        <f t="shared" si="0"/>
        <v>31</v>
      </c>
      <c r="B31" s="31"/>
      <c r="C31" s="164" t="s">
        <v>126</v>
      </c>
      <c r="D31" s="104">
        <v>485</v>
      </c>
      <c r="E31" s="135"/>
      <c r="F31" s="135"/>
      <c r="G31" s="136"/>
      <c r="H31" s="136"/>
      <c r="I31" s="135"/>
      <c r="J31" s="135"/>
      <c r="K31" s="136"/>
      <c r="L31" s="136"/>
      <c r="M31" s="136"/>
      <c r="N31" s="20"/>
      <c r="O31" s="136"/>
      <c r="P31" s="135"/>
      <c r="Q31" s="135"/>
      <c r="R31" s="136"/>
      <c r="S31" s="136"/>
      <c r="T31" s="135"/>
      <c r="U31" s="137"/>
      <c r="V31" s="136"/>
      <c r="W31" s="135"/>
      <c r="X31" s="135"/>
      <c r="Y31" s="136"/>
      <c r="Z31" s="136"/>
      <c r="AA31" s="135"/>
      <c r="AB31" s="137"/>
      <c r="AC31" s="188"/>
    </row>
    <row r="32" spans="1:35" x14ac:dyDescent="0.3">
      <c r="A32" s="1">
        <f t="shared" si="0"/>
        <v>32</v>
      </c>
      <c r="B32" s="31"/>
      <c r="C32" s="105">
        <v>50</v>
      </c>
      <c r="D32" s="106">
        <f>C32*$D$31</f>
        <v>24250</v>
      </c>
      <c r="E32" s="135">
        <f t="shared" si="8"/>
        <v>1749.79</v>
      </c>
      <c r="F32" s="135">
        <f t="shared" si="9"/>
        <v>2527.58</v>
      </c>
      <c r="G32" s="135">
        <f t="shared" ref="G32:G38" si="27">SUM(E32:F32)</f>
        <v>4277.37</v>
      </c>
      <c r="H32" s="136"/>
      <c r="I32" s="135">
        <f t="shared" si="10"/>
        <v>2198.66</v>
      </c>
      <c r="J32" s="135">
        <f t="shared" si="11"/>
        <v>2527.58</v>
      </c>
      <c r="K32" s="135">
        <f t="shared" ref="K32:K38" si="28">SUM(I32:J32)</f>
        <v>4726.24</v>
      </c>
      <c r="L32" s="136"/>
      <c r="M32" s="135">
        <f t="shared" ref="M32:M38" si="29">+K32-G32</f>
        <v>448.86999999999989</v>
      </c>
      <c r="N32" s="137">
        <f t="shared" ref="N32:N38" si="30">+M32/G32</f>
        <v>0.10494065278430435</v>
      </c>
      <c r="O32" s="135"/>
      <c r="P32" s="135">
        <f t="shared" si="18"/>
        <v>2270.19</v>
      </c>
      <c r="Q32" s="135">
        <f t="shared" si="12"/>
        <v>2527.58</v>
      </c>
      <c r="R32" s="135">
        <f t="shared" ref="R32:R38" si="31">SUM(P32:Q32)</f>
        <v>4797.7700000000004</v>
      </c>
      <c r="S32" s="136"/>
      <c r="T32" s="135">
        <f t="shared" si="13"/>
        <v>71.530000000000655</v>
      </c>
      <c r="U32" s="137">
        <f t="shared" si="14"/>
        <v>1.5134652493314063E-2</v>
      </c>
      <c r="V32" s="135"/>
      <c r="W32" s="135">
        <f t="shared" si="19"/>
        <v>2265.34</v>
      </c>
      <c r="X32" s="135">
        <f t="shared" si="15"/>
        <v>2527.58</v>
      </c>
      <c r="Y32" s="135">
        <f t="shared" ref="Y32:Y38" si="32">SUM(W32:X32)</f>
        <v>4792.92</v>
      </c>
      <c r="Z32" s="136"/>
      <c r="AA32" s="135">
        <f t="shared" si="16"/>
        <v>-4.8500000000003638</v>
      </c>
      <c r="AB32" s="137">
        <f t="shared" si="17"/>
        <v>-1.0108863075971469E-3</v>
      </c>
      <c r="AC32" s="17"/>
      <c r="AD32" s="136"/>
      <c r="AE32" s="136"/>
      <c r="AF32" s="136"/>
      <c r="AG32" s="136"/>
      <c r="AH32" s="136"/>
      <c r="AI32" s="136"/>
    </row>
    <row r="33" spans="1:35" x14ac:dyDescent="0.3">
      <c r="A33" s="1">
        <f t="shared" si="0"/>
        <v>33</v>
      </c>
      <c r="B33" s="31"/>
      <c r="C33" s="105">
        <v>80</v>
      </c>
      <c r="D33" s="106">
        <f t="shared" ref="D33:D38" si="33">C33*$D$31</f>
        <v>38800</v>
      </c>
      <c r="E33" s="135">
        <f t="shared" si="8"/>
        <v>2733.66</v>
      </c>
      <c r="F33" s="135">
        <f t="shared" si="9"/>
        <v>4044.12</v>
      </c>
      <c r="G33" s="135">
        <f t="shared" si="27"/>
        <v>6777.78</v>
      </c>
      <c r="H33" s="136"/>
      <c r="I33" s="135">
        <f t="shared" si="10"/>
        <v>3451.85</v>
      </c>
      <c r="J33" s="135">
        <f t="shared" si="11"/>
        <v>4044.12</v>
      </c>
      <c r="K33" s="135">
        <f t="shared" si="28"/>
        <v>7495.9699999999993</v>
      </c>
      <c r="L33" s="136"/>
      <c r="M33" s="135">
        <f t="shared" si="29"/>
        <v>718.1899999999996</v>
      </c>
      <c r="N33" s="137">
        <f t="shared" si="30"/>
        <v>0.10596242427461494</v>
      </c>
      <c r="O33" s="135"/>
      <c r="P33" s="135">
        <f t="shared" si="18"/>
        <v>3566.31</v>
      </c>
      <c r="Q33" s="135">
        <f t="shared" si="12"/>
        <v>4044.12</v>
      </c>
      <c r="R33" s="135">
        <f t="shared" si="31"/>
        <v>7610.43</v>
      </c>
      <c r="S33" s="136"/>
      <c r="T33" s="135">
        <f t="shared" si="13"/>
        <v>114.46000000000095</v>
      </c>
      <c r="U33" s="137">
        <f t="shared" si="14"/>
        <v>1.5269538165174214E-2</v>
      </c>
      <c r="V33" s="135"/>
      <c r="W33" s="135">
        <f t="shared" si="19"/>
        <v>3558.55</v>
      </c>
      <c r="X33" s="135">
        <f t="shared" si="15"/>
        <v>4044.12</v>
      </c>
      <c r="Y33" s="135">
        <f t="shared" si="32"/>
        <v>7602.67</v>
      </c>
      <c r="Z33" s="136"/>
      <c r="AA33" s="135">
        <f t="shared" si="16"/>
        <v>-7.7600000000002183</v>
      </c>
      <c r="AB33" s="137">
        <f t="shared" si="17"/>
        <v>-1.0196532916011602E-3</v>
      </c>
      <c r="AC33" s="17"/>
      <c r="AD33" s="136"/>
      <c r="AE33" s="136"/>
      <c r="AF33" s="136"/>
      <c r="AG33" s="136"/>
      <c r="AH33" s="136"/>
      <c r="AI33" s="136"/>
    </row>
    <row r="34" spans="1:35" x14ac:dyDescent="0.3">
      <c r="A34" s="1">
        <f t="shared" si="0"/>
        <v>34</v>
      </c>
      <c r="B34" s="31"/>
      <c r="C34" s="105">
        <v>100</v>
      </c>
      <c r="D34" s="106">
        <f t="shared" si="33"/>
        <v>48500</v>
      </c>
      <c r="E34" s="135">
        <f t="shared" si="8"/>
        <v>3389.58</v>
      </c>
      <c r="F34" s="135">
        <f t="shared" si="9"/>
        <v>5055.16</v>
      </c>
      <c r="G34" s="135">
        <f t="shared" si="27"/>
        <v>8444.74</v>
      </c>
      <c r="H34" s="136"/>
      <c r="I34" s="135">
        <f t="shared" si="10"/>
        <v>4287.3100000000004</v>
      </c>
      <c r="J34" s="135">
        <f t="shared" si="11"/>
        <v>5055.16</v>
      </c>
      <c r="K34" s="135">
        <f t="shared" si="28"/>
        <v>9342.4700000000012</v>
      </c>
      <c r="L34" s="136"/>
      <c r="M34" s="135">
        <f t="shared" si="29"/>
        <v>897.73000000000138</v>
      </c>
      <c r="N34" s="137">
        <f t="shared" si="30"/>
        <v>0.10630641085456763</v>
      </c>
      <c r="O34" s="135"/>
      <c r="P34" s="135">
        <f t="shared" si="18"/>
        <v>4430.3900000000003</v>
      </c>
      <c r="Q34" s="135">
        <f t="shared" si="12"/>
        <v>5055.16</v>
      </c>
      <c r="R34" s="135">
        <f t="shared" si="31"/>
        <v>9485.5499999999993</v>
      </c>
      <c r="S34" s="136"/>
      <c r="T34" s="135">
        <f t="shared" si="13"/>
        <v>143.07999999999811</v>
      </c>
      <c r="U34" s="137">
        <f t="shared" si="14"/>
        <v>1.5315007701389258E-2</v>
      </c>
      <c r="V34" s="135"/>
      <c r="W34" s="135">
        <f>ROUND($K$74+$C34*$K$75+$D34*$K$76,2)</f>
        <v>4420.6899999999996</v>
      </c>
      <c r="X34" s="135">
        <f t="shared" si="15"/>
        <v>5055.16</v>
      </c>
      <c r="Y34" s="135">
        <f t="shared" si="32"/>
        <v>9475.8499999999985</v>
      </c>
      <c r="Z34" s="136"/>
      <c r="AA34" s="135">
        <f t="shared" si="16"/>
        <v>-9.7000000000007276</v>
      </c>
      <c r="AB34" s="137">
        <f t="shared" si="17"/>
        <v>-1.0226080722784371E-3</v>
      </c>
      <c r="AC34" s="17"/>
      <c r="AD34" s="136"/>
      <c r="AE34" s="136"/>
      <c r="AF34" s="136"/>
      <c r="AG34" s="136"/>
      <c r="AH34" s="136"/>
      <c r="AI34" s="136"/>
    </row>
    <row r="35" spans="1:35" x14ac:dyDescent="0.3">
      <c r="A35" s="1">
        <f t="shared" si="0"/>
        <v>35</v>
      </c>
      <c r="B35" s="31"/>
      <c r="C35" s="105">
        <v>125</v>
      </c>
      <c r="D35" s="106">
        <f t="shared" si="33"/>
        <v>60625</v>
      </c>
      <c r="E35" s="135">
        <f>ROUND($G$74+$C35*$G$75+$D35*$G$76,2)</f>
        <v>4209.47</v>
      </c>
      <c r="F35" s="135">
        <f>ROUND($D35*$G$77,2)</f>
        <v>6318.94</v>
      </c>
      <c r="G35" s="135">
        <f t="shared" si="27"/>
        <v>10528.41</v>
      </c>
      <c r="H35" s="136"/>
      <c r="I35" s="135">
        <f>ROUND($I$74+$C35*$I$75+$D35*$I$76,2)</f>
        <v>5331.64</v>
      </c>
      <c r="J35" s="135">
        <f t="shared" si="11"/>
        <v>6318.94</v>
      </c>
      <c r="K35" s="135">
        <f t="shared" si="28"/>
        <v>11650.58</v>
      </c>
      <c r="L35" s="136"/>
      <c r="M35" s="135">
        <f t="shared" si="29"/>
        <v>1122.17</v>
      </c>
      <c r="N35" s="137">
        <f t="shared" si="30"/>
        <v>0.10658494492520713</v>
      </c>
      <c r="O35" s="135"/>
      <c r="P35" s="135">
        <f>ROUND($J$74+$C35*$J$75+$D35*$J$76,2)</f>
        <v>5510.48</v>
      </c>
      <c r="Q35" s="135">
        <f>ROUND($D35*$J$77,2)</f>
        <v>6318.94</v>
      </c>
      <c r="R35" s="135">
        <f t="shared" si="31"/>
        <v>11829.419999999998</v>
      </c>
      <c r="S35" s="136"/>
      <c r="T35" s="135">
        <f t="shared" si="13"/>
        <v>178.83999999999833</v>
      </c>
      <c r="U35" s="137">
        <f t="shared" si="14"/>
        <v>1.5350308739993917E-2</v>
      </c>
      <c r="V35" s="135"/>
      <c r="W35" s="135">
        <f t="shared" si="19"/>
        <v>5498.36</v>
      </c>
      <c r="X35" s="135">
        <f>ROUND($D35*$K$77,2)</f>
        <v>6318.94</v>
      </c>
      <c r="Y35" s="135">
        <f t="shared" si="32"/>
        <v>11817.3</v>
      </c>
      <c r="Z35" s="136"/>
      <c r="AA35" s="135">
        <f t="shared" si="16"/>
        <v>-12.119999999998981</v>
      </c>
      <c r="AB35" s="137">
        <f t="shared" si="17"/>
        <v>-1.0245641798159997E-3</v>
      </c>
      <c r="AC35" s="17"/>
      <c r="AD35" s="136"/>
      <c r="AE35" s="136"/>
      <c r="AF35" s="136"/>
      <c r="AG35" s="136"/>
      <c r="AH35" s="136"/>
      <c r="AI35" s="136"/>
    </row>
    <row r="36" spans="1:35" x14ac:dyDescent="0.3">
      <c r="A36" s="1">
        <f t="shared" si="0"/>
        <v>36</v>
      </c>
      <c r="B36" s="31"/>
      <c r="C36" s="105">
        <v>160</v>
      </c>
      <c r="D36" s="106">
        <f t="shared" si="33"/>
        <v>77600</v>
      </c>
      <c r="E36" s="135">
        <f t="shared" si="8"/>
        <v>5357.32</v>
      </c>
      <c r="F36" s="135">
        <f t="shared" si="9"/>
        <v>8088.25</v>
      </c>
      <c r="G36" s="135">
        <f t="shared" si="27"/>
        <v>13445.57</v>
      </c>
      <c r="H36" s="136"/>
      <c r="I36" s="135">
        <f t="shared" si="10"/>
        <v>6793.7</v>
      </c>
      <c r="J36" s="135">
        <f>ROUND($D36*$I$77,2)</f>
        <v>8088.25</v>
      </c>
      <c r="K36" s="135">
        <f t="shared" si="28"/>
        <v>14881.95</v>
      </c>
      <c r="L36" s="136"/>
      <c r="M36" s="135">
        <f t="shared" si="29"/>
        <v>1436.380000000001</v>
      </c>
      <c r="N36" s="137">
        <f t="shared" si="30"/>
        <v>0.10682923818030779</v>
      </c>
      <c r="O36" s="135"/>
      <c r="P36" s="135">
        <f t="shared" si="18"/>
        <v>7022.62</v>
      </c>
      <c r="Q36" s="135">
        <f t="shared" si="12"/>
        <v>8088.25</v>
      </c>
      <c r="R36" s="135">
        <f t="shared" si="31"/>
        <v>15110.869999999999</v>
      </c>
      <c r="S36" s="136"/>
      <c r="T36" s="135">
        <f t="shared" si="13"/>
        <v>228.91999999999825</v>
      </c>
      <c r="U36" s="137">
        <f t="shared" si="14"/>
        <v>1.5382392764388957E-2</v>
      </c>
      <c r="V36" s="135"/>
      <c r="W36" s="135">
        <f t="shared" si="19"/>
        <v>7007.1</v>
      </c>
      <c r="X36" s="135">
        <f t="shared" si="15"/>
        <v>8088.25</v>
      </c>
      <c r="Y36" s="135">
        <f t="shared" si="32"/>
        <v>15095.35</v>
      </c>
      <c r="Z36" s="136"/>
      <c r="AA36" s="135">
        <f t="shared" si="16"/>
        <v>-15.519999999998618</v>
      </c>
      <c r="AB36" s="137">
        <f t="shared" si="17"/>
        <v>-1.0270752114205613E-3</v>
      </c>
      <c r="AC36" s="17"/>
      <c r="AD36" s="136"/>
      <c r="AE36" s="136"/>
      <c r="AF36" s="136"/>
      <c r="AG36" s="136"/>
      <c r="AH36" s="136"/>
      <c r="AI36" s="136"/>
    </row>
    <row r="37" spans="1:35" x14ac:dyDescent="0.3">
      <c r="A37" s="1">
        <f t="shared" si="0"/>
        <v>37</v>
      </c>
      <c r="B37" s="31"/>
      <c r="C37" s="105">
        <v>235</v>
      </c>
      <c r="D37" s="106">
        <f t="shared" si="33"/>
        <v>113975</v>
      </c>
      <c r="E37" s="135">
        <f t="shared" si="8"/>
        <v>7817</v>
      </c>
      <c r="F37" s="135">
        <f t="shared" si="9"/>
        <v>11879.61</v>
      </c>
      <c r="G37" s="135">
        <f t="shared" si="27"/>
        <v>19696.61</v>
      </c>
      <c r="H37" s="136"/>
      <c r="I37" s="135">
        <f t="shared" si="10"/>
        <v>9926.68</v>
      </c>
      <c r="J37" s="135">
        <f t="shared" si="11"/>
        <v>11879.61</v>
      </c>
      <c r="K37" s="135">
        <f t="shared" si="28"/>
        <v>21806.29</v>
      </c>
      <c r="L37" s="136"/>
      <c r="M37" s="135">
        <f t="shared" si="29"/>
        <v>2109.6800000000003</v>
      </c>
      <c r="N37" s="137">
        <f t="shared" si="30"/>
        <v>0.10710878674045941</v>
      </c>
      <c r="O37" s="135"/>
      <c r="P37" s="135">
        <f t="shared" si="18"/>
        <v>10262.9</v>
      </c>
      <c r="Q37" s="135">
        <f t="shared" si="12"/>
        <v>11879.61</v>
      </c>
      <c r="R37" s="135">
        <f t="shared" si="31"/>
        <v>22142.510000000002</v>
      </c>
      <c r="S37" s="136"/>
      <c r="T37" s="135">
        <f t="shared" si="13"/>
        <v>336.22000000000116</v>
      </c>
      <c r="U37" s="137">
        <f t="shared" si="14"/>
        <v>1.5418487051213257E-2</v>
      </c>
      <c r="V37" s="135"/>
      <c r="W37" s="135">
        <f t="shared" si="19"/>
        <v>10240.11</v>
      </c>
      <c r="X37" s="135">
        <f t="shared" si="15"/>
        <v>11879.61</v>
      </c>
      <c r="Y37" s="135">
        <f t="shared" si="32"/>
        <v>22119.72</v>
      </c>
      <c r="Z37" s="136"/>
      <c r="AA37" s="135">
        <f t="shared" si="16"/>
        <v>-22.790000000000873</v>
      </c>
      <c r="AB37" s="137">
        <f t="shared" si="17"/>
        <v>-1.0292419423091994E-3</v>
      </c>
      <c r="AC37" s="17"/>
      <c r="AD37" s="136"/>
      <c r="AE37" s="136"/>
      <c r="AF37" s="136"/>
      <c r="AG37" s="136"/>
      <c r="AH37" s="136"/>
      <c r="AI37" s="136"/>
    </row>
    <row r="38" spans="1:35" x14ac:dyDescent="0.3">
      <c r="A38" s="1">
        <f t="shared" si="0"/>
        <v>38</v>
      </c>
      <c r="B38" s="31" t="s">
        <v>52</v>
      </c>
      <c r="C38" s="106">
        <v>125</v>
      </c>
      <c r="D38" s="106">
        <f t="shared" si="33"/>
        <v>60625</v>
      </c>
      <c r="E38" s="135">
        <f t="shared" si="8"/>
        <v>4209.47</v>
      </c>
      <c r="F38" s="135">
        <f t="shared" si="9"/>
        <v>6318.94</v>
      </c>
      <c r="G38" s="135">
        <f t="shared" si="27"/>
        <v>10528.41</v>
      </c>
      <c r="H38" s="136"/>
      <c r="I38" s="135">
        <f t="shared" si="10"/>
        <v>5331.64</v>
      </c>
      <c r="J38" s="135">
        <f t="shared" si="11"/>
        <v>6318.94</v>
      </c>
      <c r="K38" s="135">
        <f t="shared" si="28"/>
        <v>11650.58</v>
      </c>
      <c r="L38" s="136"/>
      <c r="M38" s="135">
        <f t="shared" si="29"/>
        <v>1122.17</v>
      </c>
      <c r="N38" s="137">
        <f t="shared" si="30"/>
        <v>0.10658494492520713</v>
      </c>
      <c r="O38" s="135"/>
      <c r="P38" s="135">
        <f t="shared" si="18"/>
        <v>5510.48</v>
      </c>
      <c r="Q38" s="135">
        <f t="shared" si="12"/>
        <v>6318.94</v>
      </c>
      <c r="R38" s="135">
        <f t="shared" si="31"/>
        <v>11829.419999999998</v>
      </c>
      <c r="S38" s="136"/>
      <c r="T38" s="135">
        <f t="shared" si="13"/>
        <v>178.83999999999833</v>
      </c>
      <c r="U38" s="137">
        <f t="shared" si="14"/>
        <v>1.5350308739993917E-2</v>
      </c>
      <c r="V38" s="135"/>
      <c r="W38" s="135">
        <f t="shared" si="19"/>
        <v>5498.36</v>
      </c>
      <c r="X38" s="135">
        <f t="shared" si="15"/>
        <v>6318.94</v>
      </c>
      <c r="Y38" s="135">
        <f t="shared" si="32"/>
        <v>11817.3</v>
      </c>
      <c r="Z38" s="136"/>
      <c r="AA38" s="135">
        <f t="shared" si="16"/>
        <v>-12.119999999998981</v>
      </c>
      <c r="AB38" s="137">
        <f t="shared" si="17"/>
        <v>-1.0245641798159997E-3</v>
      </c>
      <c r="AC38" s="17"/>
      <c r="AD38" s="136"/>
      <c r="AE38" s="136"/>
      <c r="AF38" s="136"/>
      <c r="AG38" s="136"/>
      <c r="AH38" s="136"/>
      <c r="AI38" s="136"/>
    </row>
    <row r="39" spans="1:35" x14ac:dyDescent="0.3">
      <c r="A39" s="1">
        <f t="shared" si="0"/>
        <v>39</v>
      </c>
      <c r="B39" s="31"/>
      <c r="C39" s="152"/>
      <c r="D39" s="152"/>
      <c r="E39" s="153"/>
      <c r="F39" s="153"/>
      <c r="G39" s="153"/>
      <c r="H39" s="159"/>
      <c r="I39" s="153"/>
      <c r="J39" s="153"/>
      <c r="K39" s="153"/>
      <c r="L39" s="159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60"/>
    </row>
    <row r="40" spans="1:35" x14ac:dyDescent="0.3">
      <c r="A40" s="1">
        <f t="shared" si="0"/>
        <v>40</v>
      </c>
      <c r="B40" s="31"/>
      <c r="D40" s="105"/>
      <c r="E40" s="135"/>
      <c r="F40" s="135"/>
      <c r="G40" s="135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</row>
    <row r="41" spans="1:35" x14ac:dyDescent="0.3">
      <c r="A41" s="1">
        <f t="shared" si="0"/>
        <v>41</v>
      </c>
      <c r="B41" s="31"/>
      <c r="C41" s="44" t="s">
        <v>53</v>
      </c>
      <c r="D41" s="44"/>
      <c r="E41" s="136"/>
      <c r="F41" s="136"/>
      <c r="G41" s="45">
        <f>'EMA R1'!H28</f>
        <v>2024</v>
      </c>
      <c r="I41" s="45">
        <f>'EMA R1'!I28</f>
        <v>2025</v>
      </c>
      <c r="J41" s="45">
        <f>'EMA R1'!J28</f>
        <v>2026</v>
      </c>
      <c r="K41" s="45">
        <f>'EMA R1'!L28</f>
        <v>2027</v>
      </c>
      <c r="M41" s="45" t="str">
        <f>'EMA R1'!M28</f>
        <v>2025 v 2024</v>
      </c>
      <c r="N41" s="45" t="str">
        <f>'EMA R1'!O28</f>
        <v>2026 v 2025</v>
      </c>
      <c r="P41" s="45" t="str">
        <f>'EMA R1'!P28</f>
        <v>2027 v 2026</v>
      </c>
      <c r="Q41" s="136"/>
      <c r="R41" s="136"/>
      <c r="S41" s="136"/>
      <c r="T41" s="136"/>
      <c r="U41" s="136"/>
      <c r="V41" s="136"/>
      <c r="W41" s="136"/>
    </row>
    <row r="42" spans="1:35" ht="15.5" x14ac:dyDescent="0.45">
      <c r="A42" s="1">
        <f t="shared" si="0"/>
        <v>42</v>
      </c>
      <c r="B42" s="31"/>
      <c r="C42" s="23" t="s">
        <v>53</v>
      </c>
      <c r="D42" s="23"/>
      <c r="E42" s="136"/>
      <c r="F42" s="136"/>
      <c r="G42" s="47" t="str">
        <f>+'BOS G2 NEMA'!G55</f>
        <v>Rates</v>
      </c>
      <c r="H42" s="116"/>
      <c r="I42" s="47" t="s">
        <v>57</v>
      </c>
      <c r="J42" s="47" t="s">
        <v>57</v>
      </c>
      <c r="K42" s="47" t="s">
        <v>57</v>
      </c>
      <c r="L42" s="37"/>
      <c r="M42" s="48" t="s">
        <v>51</v>
      </c>
      <c r="N42" s="48" t="s">
        <v>51</v>
      </c>
      <c r="O42" s="22"/>
      <c r="P42" s="48" t="s">
        <v>51</v>
      </c>
      <c r="Q42" s="136"/>
      <c r="R42" s="136"/>
      <c r="S42" s="136"/>
      <c r="T42" s="136"/>
      <c r="U42" s="136"/>
      <c r="V42" s="136"/>
      <c r="W42" s="136"/>
    </row>
    <row r="43" spans="1:35" x14ac:dyDescent="0.3">
      <c r="A43" s="1">
        <f t="shared" si="0"/>
        <v>43</v>
      </c>
      <c r="B43" s="31"/>
      <c r="C43" s="44" t="s">
        <v>58</v>
      </c>
      <c r="D43" s="44"/>
      <c r="E43" s="86"/>
      <c r="F43" s="136"/>
      <c r="G43" s="88">
        <v>110</v>
      </c>
      <c r="H43" s="88"/>
      <c r="I43" s="88">
        <f>G43</f>
        <v>110</v>
      </c>
      <c r="J43" s="88">
        <f>G43</f>
        <v>110</v>
      </c>
      <c r="K43" s="88">
        <f>G43</f>
        <v>110</v>
      </c>
      <c r="L43" s="88"/>
      <c r="M43" s="50">
        <f>+I43-G43</f>
        <v>0</v>
      </c>
      <c r="N43" s="50">
        <f>+J43-I43</f>
        <v>0</v>
      </c>
      <c r="O43" s="50"/>
      <c r="P43" s="50">
        <f>+K43-J43</f>
        <v>0</v>
      </c>
      <c r="Q43" s="51" t="s">
        <v>59</v>
      </c>
      <c r="R43" s="136"/>
      <c r="S43" s="136"/>
      <c r="T43" s="136"/>
      <c r="U43" s="136"/>
      <c r="V43" s="136"/>
      <c r="W43" s="68"/>
    </row>
    <row r="44" spans="1:35" x14ac:dyDescent="0.3">
      <c r="A44" s="1">
        <f t="shared" si="0"/>
        <v>44</v>
      </c>
      <c r="B44" s="31"/>
      <c r="C44" s="44" t="s">
        <v>146</v>
      </c>
      <c r="D44" s="44"/>
      <c r="E44" s="86"/>
      <c r="F44" s="136"/>
      <c r="G44" s="88">
        <v>10.31</v>
      </c>
      <c r="H44" s="88"/>
      <c r="I44" s="88">
        <f t="shared" ref="I44:I71" si="34">G44</f>
        <v>10.31</v>
      </c>
      <c r="J44" s="88">
        <f t="shared" ref="J44:J71" si="35">G44</f>
        <v>10.31</v>
      </c>
      <c r="K44" s="88">
        <f t="shared" ref="K44:K71" si="36">G44</f>
        <v>10.31</v>
      </c>
      <c r="L44" s="88"/>
      <c r="M44" s="50">
        <f t="shared" ref="M44:M71" si="37">+I44-G44</f>
        <v>0</v>
      </c>
      <c r="N44" s="50">
        <f t="shared" ref="N44:N71" si="38">+J44-I44</f>
        <v>0</v>
      </c>
      <c r="O44" s="50"/>
      <c r="P44" s="50">
        <f t="shared" ref="P44:P71" si="39">+K44-J44</f>
        <v>0</v>
      </c>
      <c r="Q44" s="51" t="s">
        <v>59</v>
      </c>
      <c r="R44" s="136"/>
      <c r="S44" s="136"/>
      <c r="T44" s="136"/>
      <c r="U44" s="136"/>
      <c r="V44" s="136"/>
      <c r="W44" s="68"/>
    </row>
    <row r="45" spans="1:35" x14ac:dyDescent="0.3">
      <c r="A45" s="1">
        <f t="shared" si="0"/>
        <v>45</v>
      </c>
      <c r="B45" s="31"/>
      <c r="C45" s="44" t="s">
        <v>60</v>
      </c>
      <c r="D45" s="44"/>
      <c r="E45" s="86"/>
      <c r="F45" s="136"/>
      <c r="G45" s="91">
        <v>1.97E-3</v>
      </c>
      <c r="H45" s="92"/>
      <c r="I45" s="91">
        <f t="shared" si="34"/>
        <v>1.97E-3</v>
      </c>
      <c r="J45" s="91">
        <f t="shared" si="35"/>
        <v>1.97E-3</v>
      </c>
      <c r="K45" s="91">
        <f t="shared" si="36"/>
        <v>1.97E-3</v>
      </c>
      <c r="L45" s="88"/>
      <c r="M45" s="54">
        <f t="shared" si="37"/>
        <v>0</v>
      </c>
      <c r="N45" s="54">
        <f t="shared" si="38"/>
        <v>0</v>
      </c>
      <c r="O45" s="54"/>
      <c r="P45" s="54">
        <f t="shared" si="39"/>
        <v>0</v>
      </c>
      <c r="Q45" s="51" t="s">
        <v>59</v>
      </c>
      <c r="R45" s="136"/>
      <c r="S45" s="136"/>
      <c r="T45" s="136"/>
      <c r="U45" s="136"/>
      <c r="V45" s="136"/>
      <c r="W45" s="68"/>
    </row>
    <row r="46" spans="1:35" x14ac:dyDescent="0.3">
      <c r="A46" s="1">
        <f t="shared" si="0"/>
        <v>46</v>
      </c>
      <c r="B46" s="31"/>
      <c r="C46" s="44" t="str">
        <f>+'BOS G2 NEMA'!C62</f>
        <v>Exogenous Cost Adjustment</v>
      </c>
      <c r="D46" s="44"/>
      <c r="E46" s="86"/>
      <c r="F46" s="136"/>
      <c r="G46" s="91">
        <v>5.5999999999999995E-4</v>
      </c>
      <c r="H46" s="176"/>
      <c r="I46" s="91">
        <f t="shared" si="34"/>
        <v>5.5999999999999995E-4</v>
      </c>
      <c r="J46" s="91">
        <f t="shared" si="35"/>
        <v>5.5999999999999995E-4</v>
      </c>
      <c r="K46" s="91">
        <f t="shared" si="36"/>
        <v>5.5999999999999995E-4</v>
      </c>
      <c r="L46" s="88"/>
      <c r="M46" s="54">
        <f t="shared" si="37"/>
        <v>0</v>
      </c>
      <c r="N46" s="54">
        <f t="shared" si="38"/>
        <v>0</v>
      </c>
      <c r="O46" s="54"/>
      <c r="P46" s="54">
        <f t="shared" si="39"/>
        <v>0</v>
      </c>
      <c r="Q46" s="51" t="str">
        <f>+'BOS G2 NEMA'!Q62</f>
        <v>ECA</v>
      </c>
      <c r="R46" s="136"/>
      <c r="S46" s="136"/>
      <c r="T46" s="136"/>
      <c r="U46" s="136"/>
      <c r="V46" s="136"/>
      <c r="W46" s="68"/>
    </row>
    <row r="47" spans="1:35" x14ac:dyDescent="0.3">
      <c r="A47" s="1">
        <f t="shared" si="0"/>
        <v>47</v>
      </c>
      <c r="B47" s="31"/>
      <c r="C47" s="44" t="str">
        <f>+'BOS G2 NEMA'!C63</f>
        <v>Revenue Decoupling</v>
      </c>
      <c r="D47" s="44"/>
      <c r="E47" s="86"/>
      <c r="F47" s="136"/>
      <c r="G47" s="91">
        <v>3.0000000000000001E-5</v>
      </c>
      <c r="H47" s="92"/>
      <c r="I47" s="91">
        <f t="shared" si="34"/>
        <v>3.0000000000000001E-5</v>
      </c>
      <c r="J47" s="91">
        <f t="shared" si="35"/>
        <v>3.0000000000000001E-5</v>
      </c>
      <c r="K47" s="91">
        <f t="shared" si="36"/>
        <v>3.0000000000000001E-5</v>
      </c>
      <c r="L47" s="88"/>
      <c r="M47" s="54">
        <f t="shared" si="37"/>
        <v>0</v>
      </c>
      <c r="N47" s="54">
        <f t="shared" si="38"/>
        <v>0</v>
      </c>
      <c r="O47" s="54"/>
      <c r="P47" s="54">
        <f t="shared" si="39"/>
        <v>0</v>
      </c>
      <c r="Q47" s="51" t="str">
        <f>+'BOS G2 NEMA'!Q63</f>
        <v>RDAF</v>
      </c>
      <c r="R47" s="136"/>
      <c r="S47" s="136"/>
      <c r="T47" s="136"/>
      <c r="U47" s="136"/>
      <c r="V47" s="136"/>
      <c r="W47" s="68"/>
    </row>
    <row r="48" spans="1:35" x14ac:dyDescent="0.3">
      <c r="A48" s="1">
        <f t="shared" si="0"/>
        <v>48</v>
      </c>
      <c r="B48" s="31"/>
      <c r="C48" s="44" t="str">
        <f>+'BOS G2 NEMA'!C64</f>
        <v>Distributed Solar Charge</v>
      </c>
      <c r="D48" s="44"/>
      <c r="E48" s="86"/>
      <c r="F48" s="136"/>
      <c r="G48" s="91">
        <v>4.4099999999999999E-3</v>
      </c>
      <c r="H48" s="92"/>
      <c r="I48" s="91">
        <f t="shared" si="34"/>
        <v>4.4099999999999999E-3</v>
      </c>
      <c r="J48" s="91">
        <f t="shared" si="35"/>
        <v>4.4099999999999999E-3</v>
      </c>
      <c r="K48" s="91">
        <f t="shared" si="36"/>
        <v>4.4099999999999999E-3</v>
      </c>
      <c r="L48" s="88"/>
      <c r="M48" s="54">
        <f t="shared" si="37"/>
        <v>0</v>
      </c>
      <c r="N48" s="54">
        <f t="shared" si="38"/>
        <v>0</v>
      </c>
      <c r="O48" s="54"/>
      <c r="P48" s="54">
        <f t="shared" si="39"/>
        <v>0</v>
      </c>
      <c r="Q48" s="51" t="str">
        <f>+'BOS G2 NEMA'!Q64</f>
        <v>SMART</v>
      </c>
      <c r="R48" s="136"/>
      <c r="S48" s="136"/>
      <c r="T48" s="136"/>
      <c r="U48" s="136"/>
      <c r="V48" s="136"/>
      <c r="W48" s="68"/>
    </row>
    <row r="49" spans="1:23" x14ac:dyDescent="0.3">
      <c r="A49" s="1">
        <f t="shared" si="0"/>
        <v>49</v>
      </c>
      <c r="B49" s="31"/>
      <c r="C49" s="44" t="str">
        <f>+'BOS G2 NEMA'!C65</f>
        <v>Residential Assistance Adjustment Factor</v>
      </c>
      <c r="D49" s="44"/>
      <c r="E49" s="86"/>
      <c r="F49" s="136"/>
      <c r="G49" s="53">
        <v>4.4999999999999997E-3</v>
      </c>
      <c r="H49" s="92"/>
      <c r="I49" s="53">
        <f t="shared" si="34"/>
        <v>4.4999999999999997E-3</v>
      </c>
      <c r="J49" s="53">
        <f t="shared" si="35"/>
        <v>4.4999999999999997E-3</v>
      </c>
      <c r="K49" s="53">
        <f t="shared" si="36"/>
        <v>4.4999999999999997E-3</v>
      </c>
      <c r="L49" s="88"/>
      <c r="M49" s="54">
        <f t="shared" si="37"/>
        <v>0</v>
      </c>
      <c r="N49" s="54">
        <f t="shared" si="38"/>
        <v>0</v>
      </c>
      <c r="O49" s="54"/>
      <c r="P49" s="54">
        <f t="shared" si="39"/>
        <v>0</v>
      </c>
      <c r="Q49" s="51" t="str">
        <f>+'BOS G2 NEMA'!Q65</f>
        <v>RAAF</v>
      </c>
      <c r="R49" s="136"/>
      <c r="S49" s="136"/>
      <c r="T49" s="136"/>
      <c r="U49" s="136"/>
      <c r="V49" s="136"/>
      <c r="W49" s="68"/>
    </row>
    <row r="50" spans="1:23" x14ac:dyDescent="0.3">
      <c r="A50" s="1">
        <f t="shared" si="0"/>
        <v>50</v>
      </c>
      <c r="B50" s="31"/>
      <c r="C50" s="44" t="str">
        <f>+'BOS G2 NEMA'!C66</f>
        <v>Pension Adjustment Factor</v>
      </c>
      <c r="D50" s="44"/>
      <c r="E50" s="86"/>
      <c r="F50" s="136"/>
      <c r="G50" s="53">
        <v>3.6999999999999999E-4</v>
      </c>
      <c r="H50" s="92"/>
      <c r="I50" s="53">
        <f t="shared" si="34"/>
        <v>3.6999999999999999E-4</v>
      </c>
      <c r="J50" s="53">
        <f t="shared" si="35"/>
        <v>3.6999999999999999E-4</v>
      </c>
      <c r="K50" s="53">
        <f t="shared" si="36"/>
        <v>3.6999999999999999E-4</v>
      </c>
      <c r="L50" s="88"/>
      <c r="M50" s="54">
        <f t="shared" si="37"/>
        <v>0</v>
      </c>
      <c r="N50" s="54">
        <f t="shared" si="38"/>
        <v>0</v>
      </c>
      <c r="O50" s="54"/>
      <c r="P50" s="54">
        <f t="shared" si="39"/>
        <v>0</v>
      </c>
      <c r="Q50" s="51" t="str">
        <f>+'BOS G2 NEMA'!Q66</f>
        <v>PAF</v>
      </c>
      <c r="R50" s="136"/>
      <c r="S50" s="136"/>
      <c r="T50" s="136"/>
      <c r="U50" s="136"/>
      <c r="V50" s="136"/>
      <c r="W50" s="68"/>
    </row>
    <row r="51" spans="1:23" x14ac:dyDescent="0.3">
      <c r="A51" s="1">
        <f t="shared" si="0"/>
        <v>51</v>
      </c>
      <c r="B51" s="31"/>
      <c r="C51" s="44" t="str">
        <f>+'BOS G2 NEMA'!C67</f>
        <v>Net Metering Recovery Surcharge</v>
      </c>
      <c r="D51" s="44"/>
      <c r="E51" s="86"/>
      <c r="F51" s="136"/>
      <c r="G51" s="91">
        <v>8.94E-3</v>
      </c>
      <c r="H51" s="92"/>
      <c r="I51" s="91">
        <f t="shared" si="34"/>
        <v>8.94E-3</v>
      </c>
      <c r="J51" s="91">
        <f t="shared" si="35"/>
        <v>8.94E-3</v>
      </c>
      <c r="K51" s="91">
        <f t="shared" si="36"/>
        <v>8.94E-3</v>
      </c>
      <c r="L51" s="88"/>
      <c r="M51" s="54">
        <f t="shared" si="37"/>
        <v>0</v>
      </c>
      <c r="N51" s="54">
        <f t="shared" si="38"/>
        <v>0</v>
      </c>
      <c r="O51" s="54"/>
      <c r="P51" s="54">
        <f t="shared" si="39"/>
        <v>0</v>
      </c>
      <c r="Q51" s="51" t="str">
        <f>+'BOS G2 NEMA'!Q67</f>
        <v>NMRS</v>
      </c>
      <c r="R51" s="136"/>
      <c r="S51" s="136"/>
      <c r="T51" s="136"/>
      <c r="U51" s="136"/>
      <c r="V51" s="136"/>
      <c r="W51" s="68"/>
    </row>
    <row r="52" spans="1:23" x14ac:dyDescent="0.3">
      <c r="A52" s="1">
        <f t="shared" si="0"/>
        <v>52</v>
      </c>
      <c r="B52" s="31"/>
      <c r="C52" s="44" t="str">
        <f>+'BOS G2 NEMA'!C68</f>
        <v>Long Term Renewable Contract Adjustment</v>
      </c>
      <c r="D52" s="44"/>
      <c r="E52" s="86"/>
      <c r="F52" s="136"/>
      <c r="G52" s="53">
        <v>-1.9300000000000001E-3</v>
      </c>
      <c r="H52" s="92"/>
      <c r="I52" s="53">
        <f t="shared" si="34"/>
        <v>-1.9300000000000001E-3</v>
      </c>
      <c r="J52" s="53">
        <f t="shared" si="35"/>
        <v>-1.9300000000000001E-3</v>
      </c>
      <c r="K52" s="53">
        <f t="shared" si="36"/>
        <v>-1.9300000000000001E-3</v>
      </c>
      <c r="L52" s="88"/>
      <c r="M52" s="54">
        <f t="shared" si="37"/>
        <v>0</v>
      </c>
      <c r="N52" s="54">
        <f t="shared" si="38"/>
        <v>0</v>
      </c>
      <c r="O52" s="54"/>
      <c r="P52" s="54">
        <f t="shared" si="39"/>
        <v>0</v>
      </c>
      <c r="Q52" s="51" t="str">
        <f>+'BOS G2 NEMA'!Q68</f>
        <v>LTRCA</v>
      </c>
      <c r="R52" s="136"/>
      <c r="S52" s="136"/>
      <c r="T52" s="136"/>
      <c r="U52" s="136"/>
      <c r="V52" s="136"/>
      <c r="W52" s="68"/>
    </row>
    <row r="53" spans="1:23" x14ac:dyDescent="0.3">
      <c r="A53" s="1">
        <f t="shared" si="0"/>
        <v>53</v>
      </c>
      <c r="B53" s="31"/>
      <c r="C53" s="44" t="str">
        <f>+'BOS G2 NEMA'!C69</f>
        <v>AG Consulting Expense</v>
      </c>
      <c r="D53" s="44"/>
      <c r="E53" s="86"/>
      <c r="F53" s="136"/>
      <c r="G53" s="53">
        <v>3.0000000000000001E-5</v>
      </c>
      <c r="H53" s="92"/>
      <c r="I53" s="53">
        <f t="shared" si="34"/>
        <v>3.0000000000000001E-5</v>
      </c>
      <c r="J53" s="53">
        <f t="shared" si="35"/>
        <v>3.0000000000000001E-5</v>
      </c>
      <c r="K53" s="53">
        <f t="shared" si="36"/>
        <v>3.0000000000000001E-5</v>
      </c>
      <c r="L53" s="88"/>
      <c r="M53" s="54">
        <f t="shared" si="37"/>
        <v>0</v>
      </c>
      <c r="N53" s="54">
        <f t="shared" si="38"/>
        <v>0</v>
      </c>
      <c r="O53" s="54"/>
      <c r="P53" s="54">
        <f t="shared" si="39"/>
        <v>0</v>
      </c>
      <c r="Q53" s="51" t="str">
        <f>+'BOS G2 NEMA'!Q69</f>
        <v>AGCE</v>
      </c>
      <c r="R53" s="136"/>
      <c r="S53" s="136"/>
      <c r="T53" s="136"/>
      <c r="U53" s="136"/>
      <c r="V53" s="136"/>
      <c r="W53" s="68"/>
    </row>
    <row r="54" spans="1:23" x14ac:dyDescent="0.3">
      <c r="A54" s="1">
        <f t="shared" si="0"/>
        <v>54</v>
      </c>
      <c r="B54" s="31"/>
      <c r="C54" s="44" t="str">
        <f>+'BOS G2 NEMA'!C70</f>
        <v>Storm Cost Recovery Adjustment Factor</v>
      </c>
      <c r="D54" s="44"/>
      <c r="E54" s="86"/>
      <c r="F54" s="136"/>
      <c r="G54" s="53">
        <v>3.65E-3</v>
      </c>
      <c r="H54" s="92"/>
      <c r="I54" s="53">
        <f t="shared" si="34"/>
        <v>3.65E-3</v>
      </c>
      <c r="J54" s="53">
        <f t="shared" si="35"/>
        <v>3.65E-3</v>
      </c>
      <c r="K54" s="53">
        <f t="shared" si="36"/>
        <v>3.65E-3</v>
      </c>
      <c r="L54" s="88"/>
      <c r="M54" s="54">
        <f t="shared" si="37"/>
        <v>0</v>
      </c>
      <c r="N54" s="54">
        <f t="shared" si="38"/>
        <v>0</v>
      </c>
      <c r="O54" s="54"/>
      <c r="P54" s="54">
        <f t="shared" si="39"/>
        <v>0</v>
      </c>
      <c r="Q54" s="51" t="str">
        <f>+'BOS G2 NEMA'!Q70</f>
        <v>SCRA</v>
      </c>
      <c r="R54" s="136"/>
      <c r="S54" s="136"/>
      <c r="T54" s="136"/>
      <c r="U54" s="136"/>
      <c r="V54" s="136"/>
      <c r="W54" s="68"/>
    </row>
    <row r="55" spans="1:23" x14ac:dyDescent="0.3">
      <c r="A55" s="1">
        <f t="shared" si="0"/>
        <v>55</v>
      </c>
      <c r="B55" s="31"/>
      <c r="C55" s="44" t="str">
        <f>+'BOS G2 NEMA'!C71</f>
        <v>Storm Reserve Adjustment</v>
      </c>
      <c r="D55" s="44"/>
      <c r="E55" s="86"/>
      <c r="F55" s="136"/>
      <c r="G55" s="53">
        <v>0</v>
      </c>
      <c r="H55" s="92"/>
      <c r="I55" s="53">
        <f t="shared" si="34"/>
        <v>0</v>
      </c>
      <c r="J55" s="53">
        <f t="shared" si="35"/>
        <v>0</v>
      </c>
      <c r="K55" s="53">
        <f t="shared" si="36"/>
        <v>0</v>
      </c>
      <c r="L55" s="88"/>
      <c r="M55" s="54">
        <f t="shared" si="37"/>
        <v>0</v>
      </c>
      <c r="N55" s="54">
        <f t="shared" si="38"/>
        <v>0</v>
      </c>
      <c r="O55" s="54"/>
      <c r="P55" s="54">
        <f t="shared" si="39"/>
        <v>0</v>
      </c>
      <c r="Q55" s="51" t="str">
        <f>+'BOS G2 NEMA'!Q71</f>
        <v>SRA</v>
      </c>
      <c r="R55" s="136"/>
      <c r="S55" s="136"/>
      <c r="T55" s="136"/>
      <c r="U55" s="136"/>
      <c r="V55" s="136"/>
      <c r="W55" s="68"/>
    </row>
    <row r="56" spans="1:23" x14ac:dyDescent="0.3">
      <c r="A56" s="1">
        <f t="shared" si="0"/>
        <v>56</v>
      </c>
      <c r="B56" s="31"/>
      <c r="C56" s="44" t="str">
        <f>+'BOS G2 NEMA'!C72</f>
        <v>Basic Service Cost True Up Factor</v>
      </c>
      <c r="D56" s="44"/>
      <c r="E56" s="86"/>
      <c r="F56" s="136"/>
      <c r="G56" s="53">
        <v>-2.5000000000000001E-4</v>
      </c>
      <c r="H56" s="92"/>
      <c r="I56" s="53">
        <f t="shared" si="34"/>
        <v>-2.5000000000000001E-4</v>
      </c>
      <c r="J56" s="53">
        <f t="shared" si="35"/>
        <v>-2.5000000000000001E-4</v>
      </c>
      <c r="K56" s="53">
        <f t="shared" si="36"/>
        <v>-2.5000000000000001E-4</v>
      </c>
      <c r="L56" s="88"/>
      <c r="M56" s="54">
        <f t="shared" si="37"/>
        <v>0</v>
      </c>
      <c r="N56" s="54">
        <f t="shared" si="38"/>
        <v>0</v>
      </c>
      <c r="O56" s="54"/>
      <c r="P56" s="54">
        <f t="shared" si="39"/>
        <v>0</v>
      </c>
      <c r="Q56" s="51" t="str">
        <f>+'BOS G2 NEMA'!Q72</f>
        <v>BSTF</v>
      </c>
      <c r="R56" s="136"/>
      <c r="S56" s="136"/>
      <c r="T56" s="136"/>
      <c r="U56" s="136"/>
      <c r="V56" s="136"/>
      <c r="W56" s="68"/>
    </row>
    <row r="57" spans="1:23" x14ac:dyDescent="0.3">
      <c r="A57" s="1">
        <f t="shared" si="0"/>
        <v>57</v>
      </c>
      <c r="B57" s="31"/>
      <c r="C57" s="44" t="str">
        <f>+'BOS G2 NEMA'!C73</f>
        <v>Solar Program Cost Adjustment Factor</v>
      </c>
      <c r="D57" s="44"/>
      <c r="E57" s="86"/>
      <c r="F57" s="136"/>
      <c r="G57" s="53">
        <v>1.0000000000000001E-5</v>
      </c>
      <c r="H57" s="92"/>
      <c r="I57" s="53">
        <f t="shared" si="34"/>
        <v>1.0000000000000001E-5</v>
      </c>
      <c r="J57" s="53">
        <f t="shared" si="35"/>
        <v>1.0000000000000001E-5</v>
      </c>
      <c r="K57" s="53">
        <f t="shared" si="36"/>
        <v>1.0000000000000001E-5</v>
      </c>
      <c r="L57" s="88"/>
      <c r="M57" s="54">
        <f t="shared" si="37"/>
        <v>0</v>
      </c>
      <c r="N57" s="54">
        <f t="shared" si="38"/>
        <v>0</v>
      </c>
      <c r="O57" s="54"/>
      <c r="P57" s="54">
        <f t="shared" si="39"/>
        <v>0</v>
      </c>
      <c r="Q57" s="51" t="str">
        <f>+'BOS G2 NEMA'!Q73</f>
        <v>SPCA</v>
      </c>
      <c r="R57" s="136"/>
      <c r="S57" s="136"/>
      <c r="T57" s="136"/>
      <c r="U57" s="136"/>
      <c r="V57" s="136"/>
      <c r="W57" s="68"/>
    </row>
    <row r="58" spans="1:23" x14ac:dyDescent="0.3">
      <c r="A58" s="1">
        <f t="shared" si="0"/>
        <v>58</v>
      </c>
      <c r="B58" s="31"/>
      <c r="C58" s="44" t="str">
        <f>+'BOS G2 NEMA'!C74</f>
        <v>Solar Expansion Cost Recovery Factor</v>
      </c>
      <c r="D58" s="37"/>
      <c r="E58" s="37"/>
      <c r="F58" s="53"/>
      <c r="G58" s="53">
        <v>-2.7999999999999998E-4</v>
      </c>
      <c r="H58" s="53"/>
      <c r="I58" s="53">
        <f t="shared" si="34"/>
        <v>-2.7999999999999998E-4</v>
      </c>
      <c r="J58" s="53">
        <f t="shared" si="35"/>
        <v>-2.7999999999999998E-4</v>
      </c>
      <c r="K58" s="53">
        <f t="shared" si="36"/>
        <v>-2.7999999999999998E-4</v>
      </c>
      <c r="L58" s="88"/>
      <c r="M58" s="54">
        <f t="shared" si="37"/>
        <v>0</v>
      </c>
      <c r="N58" s="54">
        <f t="shared" si="38"/>
        <v>0</v>
      </c>
      <c r="O58" s="54"/>
      <c r="P58" s="54">
        <f t="shared" si="39"/>
        <v>0</v>
      </c>
      <c r="Q58" s="51" t="str">
        <f>+'BOS G2 NEMA'!Q74</f>
        <v>SECRF</v>
      </c>
      <c r="R58" s="68"/>
      <c r="S58" s="68"/>
      <c r="T58" s="68"/>
      <c r="U58" s="68"/>
      <c r="V58" s="68"/>
      <c r="W58" s="68"/>
    </row>
    <row r="59" spans="1:23" x14ac:dyDescent="0.3">
      <c r="A59" s="1">
        <f t="shared" si="0"/>
        <v>59</v>
      </c>
      <c r="B59" s="31"/>
      <c r="C59" s="44" t="str">
        <f>+'BOS G2 NEMA'!C75</f>
        <v>Vegetation Management</v>
      </c>
      <c r="D59" s="37"/>
      <c r="E59" s="37"/>
      <c r="F59" s="53"/>
      <c r="G59" s="53">
        <v>8.3000000000000001E-4</v>
      </c>
      <c r="H59" s="53"/>
      <c r="I59" s="53">
        <f t="shared" si="34"/>
        <v>8.3000000000000001E-4</v>
      </c>
      <c r="J59" s="53">
        <f t="shared" si="35"/>
        <v>8.3000000000000001E-4</v>
      </c>
      <c r="K59" s="53">
        <f t="shared" si="36"/>
        <v>8.3000000000000001E-4</v>
      </c>
      <c r="L59" s="88"/>
      <c r="M59" s="54">
        <f t="shared" si="37"/>
        <v>0</v>
      </c>
      <c r="N59" s="54">
        <f t="shared" si="38"/>
        <v>0</v>
      </c>
      <c r="O59" s="54"/>
      <c r="P59" s="54">
        <f t="shared" si="39"/>
        <v>0</v>
      </c>
      <c r="Q59" s="51" t="str">
        <f>+'BOS G2 NEMA'!Q75</f>
        <v>RTWF</v>
      </c>
      <c r="R59" s="68"/>
      <c r="S59" s="68"/>
      <c r="T59" s="68"/>
      <c r="U59" s="68"/>
      <c r="V59" s="68"/>
      <c r="W59" s="68"/>
    </row>
    <row r="60" spans="1:23" x14ac:dyDescent="0.3">
      <c r="A60" s="1">
        <f t="shared" si="0"/>
        <v>60</v>
      </c>
      <c r="B60" s="31"/>
      <c r="C60" s="44" t="str">
        <f>+'BOS G2 NEMA'!C76</f>
        <v>Tax Act Credit Factor</v>
      </c>
      <c r="D60" s="44"/>
      <c r="E60" s="86"/>
      <c r="F60" s="136"/>
      <c r="G60" s="53">
        <v>-9.8999999999999999E-4</v>
      </c>
      <c r="H60" s="92"/>
      <c r="I60" s="53">
        <f t="shared" si="34"/>
        <v>-9.8999999999999999E-4</v>
      </c>
      <c r="J60" s="53">
        <f t="shared" si="35"/>
        <v>-9.8999999999999999E-4</v>
      </c>
      <c r="K60" s="53">
        <f t="shared" si="36"/>
        <v>-9.8999999999999999E-4</v>
      </c>
      <c r="L60" s="88"/>
      <c r="M60" s="54">
        <f t="shared" si="37"/>
        <v>0</v>
      </c>
      <c r="N60" s="54">
        <f t="shared" si="38"/>
        <v>0</v>
      </c>
      <c r="O60" s="54"/>
      <c r="P60" s="54">
        <f t="shared" si="39"/>
        <v>0</v>
      </c>
      <c r="Q60" s="51" t="str">
        <f>+'BOS G2 NEMA'!Q76</f>
        <v>TACF</v>
      </c>
      <c r="R60" s="136"/>
      <c r="S60" s="136"/>
      <c r="T60" s="136"/>
      <c r="U60" s="136"/>
      <c r="V60" s="136"/>
      <c r="W60" s="68"/>
    </row>
    <row r="61" spans="1:23" x14ac:dyDescent="0.3">
      <c r="A61" s="1">
        <f t="shared" si="0"/>
        <v>61</v>
      </c>
      <c r="B61" s="31"/>
      <c r="C61" s="44" t="str">
        <f>+'BOS G2 NEMA'!C77</f>
        <v>Grid Modernization</v>
      </c>
      <c r="D61" s="44"/>
      <c r="E61" s="86"/>
      <c r="F61" s="136"/>
      <c r="G61" s="53">
        <v>1.2199999999999999E-3</v>
      </c>
      <c r="H61" s="92"/>
      <c r="I61" s="53">
        <f t="shared" si="34"/>
        <v>1.2199999999999999E-3</v>
      </c>
      <c r="J61" s="53">
        <f t="shared" si="35"/>
        <v>1.2199999999999999E-3</v>
      </c>
      <c r="K61" s="53">
        <f t="shared" si="36"/>
        <v>1.2199999999999999E-3</v>
      </c>
      <c r="L61" s="88"/>
      <c r="M61" s="54">
        <f t="shared" si="37"/>
        <v>0</v>
      </c>
      <c r="N61" s="54">
        <f t="shared" si="38"/>
        <v>0</v>
      </c>
      <c r="O61" s="54"/>
      <c r="P61" s="54">
        <f t="shared" si="39"/>
        <v>0</v>
      </c>
      <c r="Q61" s="51" t="str">
        <f>+'BOS G2 NEMA'!Q77</f>
        <v>GMOD</v>
      </c>
      <c r="R61" s="136"/>
      <c r="S61" s="136"/>
      <c r="T61" s="136"/>
      <c r="U61" s="136"/>
      <c r="V61" s="136"/>
      <c r="W61" s="68"/>
    </row>
    <row r="62" spans="1:23" x14ac:dyDescent="0.3">
      <c r="A62" s="1">
        <f t="shared" si="0"/>
        <v>62</v>
      </c>
      <c r="B62" s="31"/>
      <c r="C62" s="44" t="str">
        <f>+'BOS G2 NEMA'!C78</f>
        <v>Advanced Metering Infrastructure</v>
      </c>
      <c r="D62" s="44"/>
      <c r="E62" s="86"/>
      <c r="F62" s="136"/>
      <c r="G62" s="53">
        <v>1.6199999999999999E-3</v>
      </c>
      <c r="H62" s="92"/>
      <c r="I62" s="53">
        <f t="shared" si="34"/>
        <v>1.6199999999999999E-3</v>
      </c>
      <c r="J62" s="53">
        <f t="shared" si="35"/>
        <v>1.6199999999999999E-3</v>
      </c>
      <c r="K62" s="53">
        <f t="shared" si="36"/>
        <v>1.6199999999999999E-3</v>
      </c>
      <c r="L62" s="88"/>
      <c r="M62" s="54">
        <f t="shared" si="37"/>
        <v>0</v>
      </c>
      <c r="N62" s="54">
        <f t="shared" si="38"/>
        <v>0</v>
      </c>
      <c r="O62" s="54"/>
      <c r="P62" s="54">
        <f t="shared" si="39"/>
        <v>0</v>
      </c>
      <c r="Q62" s="51" t="str">
        <f>+'BOS G2 NEMA'!Q78</f>
        <v>AMIF</v>
      </c>
      <c r="R62" s="136"/>
      <c r="S62" s="136"/>
      <c r="T62" s="136"/>
      <c r="U62" s="136"/>
      <c r="V62" s="136"/>
      <c r="W62" s="68"/>
    </row>
    <row r="63" spans="1:23" x14ac:dyDescent="0.3">
      <c r="A63" s="1">
        <f t="shared" si="0"/>
        <v>63</v>
      </c>
      <c r="B63" s="31"/>
      <c r="C63" s="44" t="str">
        <f>+'BOS G2 NEMA'!C79</f>
        <v>Electronic Payment Recovery</v>
      </c>
      <c r="D63" s="44"/>
      <c r="E63" s="86"/>
      <c r="F63" s="136"/>
      <c r="G63" s="53">
        <v>0</v>
      </c>
      <c r="H63" s="92"/>
      <c r="I63" s="53">
        <f t="shared" si="34"/>
        <v>0</v>
      </c>
      <c r="J63" s="53">
        <f t="shared" si="35"/>
        <v>0</v>
      </c>
      <c r="K63" s="53">
        <f t="shared" si="36"/>
        <v>0</v>
      </c>
      <c r="L63" s="88"/>
      <c r="M63" s="54">
        <f t="shared" si="37"/>
        <v>0</v>
      </c>
      <c r="N63" s="54">
        <f t="shared" si="38"/>
        <v>0</v>
      </c>
      <c r="O63" s="54"/>
      <c r="P63" s="54">
        <f t="shared" si="39"/>
        <v>0</v>
      </c>
      <c r="Q63" s="51" t="str">
        <f>+'BOS G2 NEMA'!Q79</f>
        <v>EPR</v>
      </c>
      <c r="R63" s="136"/>
      <c r="S63" s="136"/>
      <c r="T63" s="136"/>
      <c r="U63" s="136"/>
      <c r="V63" s="136"/>
      <c r="W63" s="68"/>
    </row>
    <row r="64" spans="1:23" x14ac:dyDescent="0.3">
      <c r="A64" s="1">
        <f t="shared" si="0"/>
        <v>64</v>
      </c>
      <c r="B64" s="31"/>
      <c r="C64" s="44" t="str">
        <f>+'BOS G2 NEMA'!C80</f>
        <v>Provisional System Planning Factor</v>
      </c>
      <c r="D64" s="44"/>
      <c r="E64" s="86"/>
      <c r="F64" s="136"/>
      <c r="G64" s="91">
        <v>0</v>
      </c>
      <c r="H64" s="92"/>
      <c r="I64" s="91">
        <f t="shared" si="34"/>
        <v>0</v>
      </c>
      <c r="J64" s="91">
        <f t="shared" si="35"/>
        <v>0</v>
      </c>
      <c r="K64" s="91">
        <f t="shared" si="36"/>
        <v>0</v>
      </c>
      <c r="L64" s="88"/>
      <c r="M64" s="54">
        <f t="shared" si="37"/>
        <v>0</v>
      </c>
      <c r="N64" s="54">
        <f t="shared" si="38"/>
        <v>0</v>
      </c>
      <c r="O64" s="54"/>
      <c r="P64" s="54">
        <f t="shared" si="39"/>
        <v>0</v>
      </c>
      <c r="Q64" s="51" t="str">
        <f>+'BOS G2 NEMA'!Q80</f>
        <v>PSPF</v>
      </c>
      <c r="R64" s="136"/>
      <c r="S64" s="136"/>
      <c r="T64" s="136"/>
      <c r="U64" s="136"/>
      <c r="V64" s="136"/>
      <c r="W64" s="68"/>
    </row>
    <row r="65" spans="1:24" x14ac:dyDescent="0.3">
      <c r="A65" s="1">
        <f t="shared" si="0"/>
        <v>65</v>
      </c>
      <c r="B65" s="31"/>
      <c r="C65" s="44" t="str">
        <f>+'BOS G2 NEMA'!C81</f>
        <v>Electric Vehicle Factor</v>
      </c>
      <c r="D65" s="44"/>
      <c r="E65" s="86"/>
      <c r="F65" s="136"/>
      <c r="G65" s="91">
        <v>7.6000000000000004E-4</v>
      </c>
      <c r="H65" s="92"/>
      <c r="I65" s="91">
        <f t="shared" si="34"/>
        <v>7.6000000000000004E-4</v>
      </c>
      <c r="J65" s="91">
        <f t="shared" si="35"/>
        <v>7.6000000000000004E-4</v>
      </c>
      <c r="K65" s="91">
        <f t="shared" si="36"/>
        <v>7.6000000000000004E-4</v>
      </c>
      <c r="L65" s="88"/>
      <c r="M65" s="54">
        <f t="shared" si="37"/>
        <v>0</v>
      </c>
      <c r="N65" s="54">
        <f t="shared" si="38"/>
        <v>0</v>
      </c>
      <c r="O65" s="54"/>
      <c r="P65" s="54">
        <f t="shared" si="39"/>
        <v>0</v>
      </c>
      <c r="Q65" s="51" t="str">
        <f>+'BOS G2 NEMA'!Q81</f>
        <v>EVF</v>
      </c>
      <c r="R65" s="136"/>
      <c r="S65" s="136"/>
      <c r="T65" s="136"/>
      <c r="U65" s="136"/>
      <c r="V65" s="136"/>
      <c r="W65" s="68"/>
    </row>
    <row r="66" spans="1:24" x14ac:dyDescent="0.3">
      <c r="A66" s="1">
        <f t="shared" si="0"/>
        <v>66</v>
      </c>
      <c r="B66" s="31"/>
      <c r="C66" s="44" t="str">
        <f>+'BOS G2 NEMA'!C82</f>
        <v>Transition</v>
      </c>
      <c r="D66" s="44"/>
      <c r="E66" s="86"/>
      <c r="F66" s="136"/>
      <c r="G66" s="91">
        <v>-3.6999999999999999E-4</v>
      </c>
      <c r="H66" s="92"/>
      <c r="I66" s="91">
        <f t="shared" si="34"/>
        <v>-3.6999999999999999E-4</v>
      </c>
      <c r="J66" s="91">
        <f t="shared" si="35"/>
        <v>-3.6999999999999999E-4</v>
      </c>
      <c r="K66" s="91">
        <f t="shared" si="36"/>
        <v>-3.6999999999999999E-4</v>
      </c>
      <c r="L66" s="88"/>
      <c r="M66" s="54">
        <f t="shared" si="37"/>
        <v>0</v>
      </c>
      <c r="N66" s="54">
        <f t="shared" si="38"/>
        <v>0</v>
      </c>
      <c r="O66" s="54"/>
      <c r="P66" s="54">
        <f t="shared" si="39"/>
        <v>0</v>
      </c>
      <c r="Q66" s="51" t="str">
        <f>+'BOS G2 NEMA'!Q82</f>
        <v>TRNSN</v>
      </c>
      <c r="R66" s="136"/>
      <c r="S66" s="136"/>
      <c r="T66" s="136"/>
      <c r="U66" s="136"/>
      <c r="V66" s="136"/>
      <c r="W66" s="68"/>
    </row>
    <row r="67" spans="1:24" x14ac:dyDescent="0.3">
      <c r="A67" s="1">
        <f t="shared" ref="A67:A71" si="40">A66+1</f>
        <v>67</v>
      </c>
      <c r="B67" s="31"/>
      <c r="C67" s="44" t="s">
        <v>147</v>
      </c>
      <c r="D67" s="44"/>
      <c r="E67" s="86"/>
      <c r="F67" s="136"/>
      <c r="G67" s="88">
        <v>12.81</v>
      </c>
      <c r="H67" s="88"/>
      <c r="I67" s="88">
        <f t="shared" si="34"/>
        <v>12.81</v>
      </c>
      <c r="J67" s="88">
        <f t="shared" si="35"/>
        <v>12.81</v>
      </c>
      <c r="K67" s="88">
        <f t="shared" si="36"/>
        <v>12.81</v>
      </c>
      <c r="L67" s="88"/>
      <c r="M67" s="50">
        <f t="shared" si="37"/>
        <v>0</v>
      </c>
      <c r="N67" s="50">
        <f t="shared" si="38"/>
        <v>0</v>
      </c>
      <c r="O67" s="88"/>
      <c r="P67" s="50">
        <f t="shared" si="39"/>
        <v>0</v>
      </c>
      <c r="Q67" s="51" t="s">
        <v>104</v>
      </c>
      <c r="R67" s="136"/>
      <c r="S67" s="136"/>
      <c r="T67" s="136"/>
      <c r="U67" s="136"/>
      <c r="V67" s="136"/>
      <c r="W67" s="68"/>
    </row>
    <row r="68" spans="1:24" x14ac:dyDescent="0.3">
      <c r="A68" s="1">
        <f t="shared" si="40"/>
        <v>68</v>
      </c>
      <c r="B68" s="31"/>
      <c r="C68" s="44" t="s">
        <v>105</v>
      </c>
      <c r="D68" s="68"/>
      <c r="E68" s="136"/>
      <c r="F68" s="136"/>
      <c r="G68" s="92">
        <v>-8.1300000000000001E-3</v>
      </c>
      <c r="H68" s="92"/>
      <c r="I68" s="92">
        <v>1.038E-2</v>
      </c>
      <c r="J68" s="92">
        <v>1.333E-2</v>
      </c>
      <c r="K68" s="92">
        <v>1.3129999999999999E-2</v>
      </c>
      <c r="L68" s="88"/>
      <c r="M68" s="54">
        <f t="shared" si="37"/>
        <v>1.8509999999999999E-2</v>
      </c>
      <c r="N68" s="54">
        <f t="shared" si="38"/>
        <v>2.9499999999999995E-3</v>
      </c>
      <c r="O68" s="54"/>
      <c r="P68" s="54">
        <f t="shared" si="39"/>
        <v>-2.0000000000000052E-4</v>
      </c>
      <c r="Q68" s="51" t="s">
        <v>106</v>
      </c>
      <c r="R68" s="136"/>
      <c r="S68" s="136"/>
      <c r="T68" s="136"/>
      <c r="U68" s="136"/>
      <c r="V68" s="136"/>
      <c r="W68" s="68"/>
    </row>
    <row r="69" spans="1:24" x14ac:dyDescent="0.3">
      <c r="A69" s="1">
        <f t="shared" si="40"/>
        <v>69</v>
      </c>
      <c r="B69" s="31"/>
      <c r="C69" s="44" t="s">
        <v>107</v>
      </c>
      <c r="D69" s="68"/>
      <c r="E69" s="136"/>
      <c r="F69" s="136"/>
      <c r="G69" s="92">
        <v>2.5000000000000001E-3</v>
      </c>
      <c r="H69" s="92"/>
      <c r="I69" s="92">
        <f t="shared" si="34"/>
        <v>2.5000000000000001E-3</v>
      </c>
      <c r="J69" s="92">
        <f t="shared" si="35"/>
        <v>2.5000000000000001E-3</v>
      </c>
      <c r="K69" s="92">
        <f t="shared" si="36"/>
        <v>2.5000000000000001E-3</v>
      </c>
      <c r="L69" s="88"/>
      <c r="M69" s="54">
        <f t="shared" si="37"/>
        <v>0</v>
      </c>
      <c r="N69" s="54">
        <f t="shared" si="38"/>
        <v>0</v>
      </c>
      <c r="O69" s="54"/>
      <c r="P69" s="54">
        <f t="shared" si="39"/>
        <v>0</v>
      </c>
      <c r="Q69" s="51" t="s">
        <v>108</v>
      </c>
      <c r="R69" s="136"/>
      <c r="S69" s="136"/>
      <c r="T69" s="136"/>
      <c r="U69" s="136"/>
      <c r="V69" s="136"/>
      <c r="W69" s="68"/>
    </row>
    <row r="70" spans="1:24" x14ac:dyDescent="0.3">
      <c r="A70" s="1">
        <f t="shared" si="40"/>
        <v>70</v>
      </c>
      <c r="C70" s="44" t="s">
        <v>109</v>
      </c>
      <c r="D70" s="68"/>
      <c r="E70" s="136"/>
      <c r="F70" s="136"/>
      <c r="G70" s="92">
        <v>5.0000000000000001E-4</v>
      </c>
      <c r="H70" s="92"/>
      <c r="I70" s="92">
        <f t="shared" si="34"/>
        <v>5.0000000000000001E-4</v>
      </c>
      <c r="J70" s="92">
        <f t="shared" si="35"/>
        <v>5.0000000000000001E-4</v>
      </c>
      <c r="K70" s="92">
        <f t="shared" si="36"/>
        <v>5.0000000000000001E-4</v>
      </c>
      <c r="L70" s="88"/>
      <c r="M70" s="54">
        <f t="shared" si="37"/>
        <v>0</v>
      </c>
      <c r="N70" s="54">
        <f t="shared" si="38"/>
        <v>0</v>
      </c>
      <c r="O70" s="54"/>
      <c r="P70" s="54">
        <f t="shared" si="39"/>
        <v>0</v>
      </c>
      <c r="Q70" s="51" t="s">
        <v>110</v>
      </c>
      <c r="R70" s="136"/>
      <c r="S70" s="136"/>
      <c r="T70" s="136"/>
      <c r="U70" s="136"/>
      <c r="V70" s="136"/>
      <c r="W70" s="68"/>
    </row>
    <row r="71" spans="1:24" x14ac:dyDescent="0.3">
      <c r="A71" s="1">
        <f t="shared" si="40"/>
        <v>71</v>
      </c>
      <c r="C71" s="44" t="s">
        <v>111</v>
      </c>
      <c r="D71" s="68"/>
      <c r="E71" s="136"/>
      <c r="F71" s="136"/>
      <c r="G71" s="92">
        <v>0.10423</v>
      </c>
      <c r="H71" s="92"/>
      <c r="I71" s="92">
        <f t="shared" si="34"/>
        <v>0.10423</v>
      </c>
      <c r="J71" s="92">
        <f t="shared" si="35"/>
        <v>0.10423</v>
      </c>
      <c r="K71" s="92">
        <f t="shared" si="36"/>
        <v>0.10423</v>
      </c>
      <c r="L71" s="88"/>
      <c r="M71" s="54">
        <f t="shared" si="37"/>
        <v>0</v>
      </c>
      <c r="N71" s="54">
        <f t="shared" si="38"/>
        <v>0</v>
      </c>
      <c r="O71" s="54"/>
      <c r="P71" s="54">
        <f t="shared" si="39"/>
        <v>0</v>
      </c>
      <c r="Q71" s="51" t="s">
        <v>112</v>
      </c>
      <c r="R71" s="136"/>
      <c r="S71" s="136"/>
      <c r="T71" s="136"/>
      <c r="U71" s="136"/>
      <c r="V71" s="136"/>
      <c r="W71" s="68"/>
    </row>
    <row r="72" spans="1:24" x14ac:dyDescent="0.3">
      <c r="A72" s="1"/>
      <c r="C72" s="44"/>
      <c r="D72" s="68"/>
      <c r="E72" s="136"/>
      <c r="F72" s="136"/>
      <c r="G72" s="92"/>
      <c r="H72" s="92"/>
      <c r="I72" s="92"/>
      <c r="J72" s="94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68"/>
      <c r="X72" s="51"/>
    </row>
    <row r="73" spans="1:24" x14ac:dyDescent="0.3">
      <c r="A73" s="1"/>
      <c r="C73" s="44"/>
      <c r="D73" s="68"/>
      <c r="E73" s="68"/>
      <c r="F73" s="68"/>
      <c r="G73" s="68"/>
      <c r="H73" s="68"/>
      <c r="I73" s="68"/>
      <c r="J73" s="68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68"/>
      <c r="X73" s="68"/>
    </row>
    <row r="74" spans="1:24" x14ac:dyDescent="0.3">
      <c r="A74" s="1"/>
      <c r="C74" s="44" t="s">
        <v>58</v>
      </c>
      <c r="D74" s="68"/>
      <c r="E74" s="68"/>
      <c r="F74" s="68"/>
      <c r="G74" s="88">
        <f>+G43</f>
        <v>110</v>
      </c>
      <c r="H74" s="88"/>
      <c r="I74" s="88">
        <f>+I43</f>
        <v>110</v>
      </c>
      <c r="J74" s="88">
        <f t="shared" ref="J74:K74" si="41">+J43</f>
        <v>110</v>
      </c>
      <c r="K74" s="88">
        <f t="shared" si="41"/>
        <v>110</v>
      </c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68"/>
      <c r="X74" s="68"/>
    </row>
    <row r="75" spans="1:24" x14ac:dyDescent="0.3">
      <c r="A75" s="1"/>
      <c r="C75" s="44" t="s">
        <v>148</v>
      </c>
      <c r="D75" s="68"/>
      <c r="E75" s="136"/>
      <c r="F75" s="136"/>
      <c r="G75" s="88">
        <f>SUM(G44,G67)</f>
        <v>23.12</v>
      </c>
      <c r="H75" s="88"/>
      <c r="I75" s="88">
        <f>SUM(I44,I67)</f>
        <v>23.12</v>
      </c>
      <c r="J75" s="88">
        <f t="shared" ref="J75:K75" si="42">SUM(J44,J67)</f>
        <v>23.12</v>
      </c>
      <c r="K75" s="88">
        <f t="shared" si="42"/>
        <v>23.12</v>
      </c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68"/>
      <c r="X75" s="68"/>
    </row>
    <row r="76" spans="1:24" x14ac:dyDescent="0.3">
      <c r="A76" s="1"/>
      <c r="C76" s="44" t="s">
        <v>122</v>
      </c>
      <c r="D76" s="68"/>
      <c r="E76" s="136"/>
      <c r="F76" s="136"/>
      <c r="G76" s="92">
        <f>SUM(G45:G66,G68:G70)</f>
        <v>1.9949999999999999E-2</v>
      </c>
      <c r="H76" s="92"/>
      <c r="I76" s="92">
        <f>SUM(I45:I66,I68:I70)</f>
        <v>3.8460000000000001E-2</v>
      </c>
      <c r="J76" s="92">
        <f t="shared" ref="J76:K76" si="43">SUM(J45:J66,J68:J70)</f>
        <v>4.1410000000000002E-2</v>
      </c>
      <c r="K76" s="92">
        <f t="shared" si="43"/>
        <v>4.1209999999999997E-2</v>
      </c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68"/>
      <c r="X76" s="68"/>
    </row>
    <row r="77" spans="1:24" x14ac:dyDescent="0.3">
      <c r="A77" s="1"/>
      <c r="C77" s="44" t="s">
        <v>123</v>
      </c>
      <c r="G77" s="91">
        <f>+G71</f>
        <v>0.10423</v>
      </c>
      <c r="H77" s="92"/>
      <c r="I77" s="91">
        <f>+I71</f>
        <v>0.10423</v>
      </c>
      <c r="J77" s="91">
        <f t="shared" ref="J77:K77" si="44">+J71</f>
        <v>0.10423</v>
      </c>
      <c r="K77" s="91">
        <f t="shared" si="44"/>
        <v>0.10423</v>
      </c>
    </row>
    <row r="78" spans="1:24" x14ac:dyDescent="0.3">
      <c r="A78" s="31" t="str">
        <f>IF(C78&lt;&gt;"",COUNTA($C$10:C78),"")</f>
        <v/>
      </c>
      <c r="B78" s="31"/>
      <c r="I78" s="44"/>
      <c r="J78" s="44"/>
      <c r="K78" s="44"/>
    </row>
    <row r="79" spans="1:24" x14ac:dyDescent="0.3">
      <c r="A79" s="31"/>
      <c r="B79" s="31"/>
      <c r="C79" s="172"/>
      <c r="E79" s="178"/>
      <c r="F79" s="192"/>
      <c r="I79" s="44"/>
      <c r="J79" s="44"/>
      <c r="K79" s="44"/>
    </row>
    <row r="80" spans="1:24" x14ac:dyDescent="0.3">
      <c r="A80" s="31"/>
      <c r="B80" s="31"/>
      <c r="C80" s="172"/>
      <c r="E80" s="178"/>
      <c r="F80" s="192"/>
      <c r="I80" s="44"/>
      <c r="J80" s="44"/>
      <c r="K80" s="44"/>
    </row>
    <row r="81" spans="1:11" x14ac:dyDescent="0.3">
      <c r="A81" s="31"/>
      <c r="B81" s="31"/>
      <c r="C81" s="172"/>
      <c r="E81" s="178"/>
      <c r="F81" s="192"/>
      <c r="I81" s="44"/>
      <c r="J81" s="44"/>
      <c r="K81" s="44"/>
    </row>
    <row r="82" spans="1:11" x14ac:dyDescent="0.3">
      <c r="A82" s="31"/>
      <c r="B82" s="31"/>
      <c r="I82" s="44"/>
      <c r="J82" s="44"/>
      <c r="K82" s="44"/>
    </row>
    <row r="83" spans="1:11" x14ac:dyDescent="0.3">
      <c r="A83" s="31"/>
      <c r="B83" s="31"/>
      <c r="I83" s="44"/>
      <c r="J83" s="44"/>
      <c r="K83" s="44"/>
    </row>
    <row r="84" spans="1:11" x14ac:dyDescent="0.3">
      <c r="A84" s="31"/>
      <c r="B84" s="31"/>
      <c r="I84" s="44"/>
      <c r="J84" s="44"/>
      <c r="K84" s="44"/>
    </row>
    <row r="85" spans="1:11" x14ac:dyDescent="0.3">
      <c r="A85" s="31"/>
      <c r="B85" s="31"/>
      <c r="I85" s="44"/>
      <c r="J85" s="44"/>
      <c r="K85" s="44"/>
    </row>
    <row r="86" spans="1:11" x14ac:dyDescent="0.3">
      <c r="A86" s="31"/>
      <c r="B86" s="31"/>
      <c r="I86" s="44"/>
      <c r="J86" s="44"/>
      <c r="K86" s="44"/>
    </row>
    <row r="87" spans="1:11" x14ac:dyDescent="0.3">
      <c r="A87" s="31"/>
      <c r="B87" s="31"/>
      <c r="I87" s="44"/>
      <c r="J87" s="44"/>
      <c r="K87" s="44"/>
    </row>
    <row r="88" spans="1:11" x14ac:dyDescent="0.3">
      <c r="A88" s="31"/>
      <c r="B88" s="31"/>
      <c r="I88" s="44"/>
      <c r="J88" s="44"/>
      <c r="K88" s="44"/>
    </row>
    <row r="89" spans="1:11" x14ac:dyDescent="0.3">
      <c r="A89" s="31"/>
      <c r="B89" s="31"/>
      <c r="I89" s="44"/>
      <c r="J89" s="44"/>
      <c r="K89" s="44"/>
    </row>
    <row r="90" spans="1:11" x14ac:dyDescent="0.3">
      <c r="A90" s="31"/>
      <c r="B90" s="31"/>
      <c r="I90" s="44"/>
      <c r="J90" s="44"/>
      <c r="K90" s="44"/>
    </row>
    <row r="91" spans="1:11" x14ac:dyDescent="0.3">
      <c r="A91" s="31"/>
      <c r="B91" s="31"/>
      <c r="I91" s="44"/>
      <c r="J91" s="44"/>
      <c r="K91" s="44"/>
    </row>
    <row r="92" spans="1:11" x14ac:dyDescent="0.3">
      <c r="A92" s="31"/>
      <c r="B92" s="31"/>
      <c r="I92" s="44"/>
      <c r="J92" s="44"/>
      <c r="K92" s="44"/>
    </row>
    <row r="93" spans="1:11" x14ac:dyDescent="0.3">
      <c r="A93" s="31"/>
      <c r="B93" s="31"/>
      <c r="I93" s="44"/>
      <c r="J93" s="44"/>
      <c r="K93" s="44"/>
    </row>
    <row r="94" spans="1:11" x14ac:dyDescent="0.3">
      <c r="A94" s="31"/>
      <c r="B94" s="31"/>
      <c r="I94" s="44"/>
      <c r="J94" s="44"/>
      <c r="K94" s="44"/>
    </row>
    <row r="95" spans="1:11" x14ac:dyDescent="0.3">
      <c r="A95" s="31"/>
      <c r="B95" s="31"/>
      <c r="I95" s="44"/>
      <c r="J95" s="44"/>
      <c r="K95" s="44"/>
    </row>
    <row r="96" spans="1:11" x14ac:dyDescent="0.3">
      <c r="A96" s="31"/>
      <c r="B96" s="31"/>
      <c r="C96" s="179"/>
      <c r="I96" s="44"/>
      <c r="J96" s="44"/>
      <c r="K96" s="44"/>
    </row>
    <row r="97" spans="1:23" x14ac:dyDescent="0.3">
      <c r="A97" s="31"/>
      <c r="B97" s="31"/>
      <c r="C97" s="163"/>
      <c r="D97" s="163"/>
      <c r="E97" s="146"/>
      <c r="F97" s="146"/>
      <c r="G97" s="146"/>
      <c r="H97" s="147"/>
      <c r="I97" s="146"/>
      <c r="J97" s="146"/>
      <c r="K97" s="146"/>
      <c r="L97" s="147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8"/>
    </row>
    <row r="98" spans="1:23" x14ac:dyDescent="0.3">
      <c r="A98" s="31"/>
      <c r="B98" s="31"/>
      <c r="I98" s="44"/>
      <c r="J98" s="44"/>
      <c r="K98" s="44"/>
    </row>
    <row r="99" spans="1:23" x14ac:dyDescent="0.3">
      <c r="A99" s="31"/>
      <c r="B99" s="31"/>
      <c r="C99" s="163"/>
      <c r="D99" s="163"/>
      <c r="E99" s="146"/>
      <c r="F99" s="146"/>
      <c r="G99" s="146"/>
      <c r="H99" s="147"/>
      <c r="I99" s="146"/>
      <c r="J99" s="146"/>
      <c r="K99" s="146"/>
      <c r="L99" s="147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8"/>
    </row>
    <row r="100" spans="1:23" x14ac:dyDescent="0.3">
      <c r="A100" s="31"/>
      <c r="B100" s="31"/>
      <c r="I100" s="44"/>
      <c r="J100" s="44"/>
      <c r="K100" s="44"/>
    </row>
    <row r="101" spans="1:23" x14ac:dyDescent="0.3">
      <c r="A101" s="31"/>
      <c r="B101" s="31"/>
      <c r="I101" s="44"/>
      <c r="J101" s="44"/>
      <c r="K101" s="44"/>
    </row>
    <row r="102" spans="1:23" x14ac:dyDescent="0.3">
      <c r="A102" s="31"/>
      <c r="B102" s="31"/>
      <c r="I102" s="44"/>
      <c r="J102" s="44"/>
      <c r="K102" s="44"/>
    </row>
    <row r="103" spans="1:23" x14ac:dyDescent="0.3">
      <c r="A103" s="31"/>
      <c r="B103" s="31"/>
      <c r="I103" s="44"/>
      <c r="J103" s="44"/>
      <c r="K103" s="44"/>
    </row>
    <row r="104" spans="1:23" x14ac:dyDescent="0.3">
      <c r="A104" s="31"/>
      <c r="B104" s="31"/>
      <c r="I104" s="44"/>
      <c r="J104" s="44"/>
      <c r="K104" s="44"/>
    </row>
    <row r="105" spans="1:23" x14ac:dyDescent="0.3">
      <c r="A105" s="31"/>
      <c r="B105" s="31"/>
      <c r="I105" s="44"/>
      <c r="J105" s="44"/>
      <c r="K105" s="44"/>
    </row>
    <row r="106" spans="1:23" x14ac:dyDescent="0.3">
      <c r="A106" s="31"/>
      <c r="B106" s="31"/>
      <c r="I106" s="44"/>
      <c r="J106" s="44"/>
      <c r="K106" s="44"/>
    </row>
    <row r="107" spans="1:23" x14ac:dyDescent="0.3">
      <c r="A107" s="31"/>
      <c r="B107" s="31"/>
      <c r="I107" s="44"/>
      <c r="J107" s="44"/>
      <c r="K107" s="44"/>
    </row>
    <row r="108" spans="1:23" x14ac:dyDescent="0.3">
      <c r="A108" s="31"/>
      <c r="B108" s="31"/>
      <c r="I108" s="44"/>
      <c r="J108" s="44"/>
      <c r="K108" s="44"/>
    </row>
    <row r="109" spans="1:23" x14ac:dyDescent="0.3">
      <c r="A109" s="31"/>
      <c r="B109" s="31"/>
      <c r="I109" s="44"/>
      <c r="J109" s="44"/>
      <c r="K109" s="44"/>
    </row>
    <row r="110" spans="1:23" x14ac:dyDescent="0.3">
      <c r="A110" s="31"/>
      <c r="B110" s="31"/>
      <c r="I110" s="44"/>
      <c r="J110" s="44"/>
      <c r="K110" s="44"/>
    </row>
    <row r="111" spans="1:23" x14ac:dyDescent="0.3">
      <c r="A111" s="31"/>
      <c r="B111" s="31"/>
      <c r="I111" s="44"/>
      <c r="J111" s="44"/>
      <c r="K111" s="44"/>
    </row>
    <row r="112" spans="1:23" x14ac:dyDescent="0.3">
      <c r="A112" s="31"/>
      <c r="B112" s="31"/>
      <c r="I112" s="44"/>
      <c r="J112" s="44"/>
      <c r="K112" s="44"/>
    </row>
    <row r="113" spans="1:11" x14ac:dyDescent="0.3">
      <c r="A113" s="31"/>
      <c r="B113" s="31"/>
      <c r="I113" s="44"/>
      <c r="J113" s="44"/>
      <c r="K113" s="44"/>
    </row>
    <row r="114" spans="1:11" x14ac:dyDescent="0.3">
      <c r="A114" s="31"/>
      <c r="B114" s="31"/>
      <c r="I114" s="44"/>
      <c r="J114" s="44"/>
      <c r="K114" s="44"/>
    </row>
    <row r="115" spans="1:11" x14ac:dyDescent="0.3">
      <c r="A115" s="31"/>
      <c r="B115" s="31"/>
      <c r="I115" s="44"/>
      <c r="J115" s="44"/>
      <c r="K115" s="44"/>
    </row>
    <row r="116" spans="1:11" x14ac:dyDescent="0.3">
      <c r="A116" s="31"/>
      <c r="B116" s="31"/>
      <c r="I116" s="44"/>
      <c r="J116" s="44"/>
      <c r="K116" s="44"/>
    </row>
    <row r="117" spans="1:11" x14ac:dyDescent="0.3">
      <c r="A117" s="31"/>
      <c r="B117" s="31"/>
      <c r="I117" s="44"/>
      <c r="J117" s="44"/>
      <c r="K117" s="44"/>
    </row>
    <row r="118" spans="1:11" x14ac:dyDescent="0.3">
      <c r="A118" s="31"/>
      <c r="B118" s="31"/>
      <c r="I118" s="44"/>
      <c r="J118" s="44"/>
      <c r="K118" s="44"/>
    </row>
    <row r="119" spans="1:11" x14ac:dyDescent="0.3">
      <c r="A119" s="31"/>
      <c r="B119" s="31"/>
      <c r="I119" s="44"/>
      <c r="J119" s="44"/>
      <c r="K119" s="44"/>
    </row>
    <row r="120" spans="1:11" x14ac:dyDescent="0.3">
      <c r="A120" s="31"/>
      <c r="B120" s="31"/>
      <c r="I120" s="44"/>
      <c r="J120" s="44"/>
      <c r="K120" s="44"/>
    </row>
    <row r="121" spans="1:11" x14ac:dyDescent="0.3">
      <c r="A121" s="31"/>
      <c r="B121" s="31"/>
    </row>
    <row r="122" spans="1:11" x14ac:dyDescent="0.3">
      <c r="A122" s="31"/>
      <c r="B122" s="31"/>
    </row>
    <row r="123" spans="1:11" x14ac:dyDescent="0.3">
      <c r="A123" s="31"/>
      <c r="B123" s="31"/>
    </row>
    <row r="124" spans="1:11" x14ac:dyDescent="0.3">
      <c r="A124" s="31"/>
      <c r="B124" s="31"/>
    </row>
    <row r="125" spans="1:11" x14ac:dyDescent="0.3">
      <c r="A125" s="31"/>
      <c r="B125" s="31"/>
    </row>
    <row r="126" spans="1:11" x14ac:dyDescent="0.3">
      <c r="A126" s="31"/>
      <c r="B126" s="31"/>
    </row>
    <row r="127" spans="1:11" x14ac:dyDescent="0.3">
      <c r="A127" s="31"/>
      <c r="B127" s="31"/>
    </row>
    <row r="128" spans="1:11" x14ac:dyDescent="0.3">
      <c r="A128" s="31"/>
      <c r="B128" s="31"/>
    </row>
    <row r="129" spans="1:2" x14ac:dyDescent="0.3">
      <c r="A129" s="31"/>
      <c r="B129" s="31"/>
    </row>
    <row r="130" spans="1:2" x14ac:dyDescent="0.3">
      <c r="A130" s="31"/>
      <c r="B130" s="31"/>
    </row>
    <row r="131" spans="1:2" x14ac:dyDescent="0.3">
      <c r="A131" s="31"/>
      <c r="B131" s="31"/>
    </row>
    <row r="132" spans="1:2" x14ac:dyDescent="0.3">
      <c r="A132" s="31"/>
      <c r="B132" s="31"/>
    </row>
    <row r="133" spans="1:2" x14ac:dyDescent="0.3">
      <c r="A133" s="31"/>
      <c r="B133" s="31"/>
    </row>
    <row r="134" spans="1:2" x14ac:dyDescent="0.3">
      <c r="A134" s="31"/>
      <c r="B134" s="31"/>
    </row>
  </sheetData>
  <mergeCells count="7">
    <mergeCell ref="AA10:AB10"/>
    <mergeCell ref="E10:G10"/>
    <mergeCell ref="I10:K10"/>
    <mergeCell ref="M10:N10"/>
    <mergeCell ref="P10:R10"/>
    <mergeCell ref="T10:U10"/>
    <mergeCell ref="W10:Y10"/>
  </mergeCells>
  <pageMargins left="0.7" right="0.7" top="0.75" bottom="0.75" header="0.3" footer="0.3"/>
  <pageSetup scale="35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CA06-AD36-4483-A369-843C2B02B28C}">
  <sheetPr>
    <tabColor theme="3" tint="0.59999389629810485"/>
    <pageSetUpPr fitToPage="1"/>
  </sheetPr>
  <dimension ref="A1:AI136"/>
  <sheetViews>
    <sheetView zoomScaleNormal="100" workbookViewId="0"/>
  </sheetViews>
  <sheetFormatPr defaultColWidth="9.1796875" defaultRowHeight="14" x14ac:dyDescent="0.3"/>
  <cols>
    <col min="1" max="1" width="4" style="2" customWidth="1"/>
    <col min="2" max="2" width="4.453125" style="2" bestFit="1" customWidth="1"/>
    <col min="3" max="6" width="11.81640625" style="2" customWidth="1"/>
    <col min="7" max="7" width="12.36328125" style="2" bestFit="1" customWidth="1"/>
    <col min="8" max="8" width="2" style="2" customWidth="1"/>
    <col min="9" max="11" width="11.81640625" style="2" customWidth="1"/>
    <col min="12" max="12" width="2" style="2" customWidth="1"/>
    <col min="13" max="14" width="11.81640625" style="2" customWidth="1"/>
    <col min="15" max="15" width="2" style="2" customWidth="1"/>
    <col min="16" max="17" width="11.81640625" style="2" customWidth="1"/>
    <col min="18" max="18" width="12.36328125" style="2" bestFit="1" customWidth="1"/>
    <col min="19" max="19" width="2" style="2" customWidth="1"/>
    <col min="20" max="21" width="11.81640625" style="2" customWidth="1"/>
    <col min="22" max="22" width="2" style="2" customWidth="1"/>
    <col min="23" max="24" width="11.81640625" style="2" customWidth="1"/>
    <col min="25" max="25" width="12.36328125" style="2" bestFit="1" customWidth="1"/>
    <col min="26" max="26" width="2" style="2" customWidth="1"/>
    <col min="27" max="28" width="11.81640625" style="2" customWidth="1"/>
    <col min="29" max="29" width="11.81640625" style="2" bestFit="1" customWidth="1"/>
    <col min="30" max="30" width="11.26953125" style="2" bestFit="1" customWidth="1"/>
    <col min="31" max="31" width="10.1796875" style="2" bestFit="1" customWidth="1"/>
    <col min="32" max="32" width="10.81640625" style="2" bestFit="1" customWidth="1"/>
    <col min="33" max="33" width="11.81640625" style="2" bestFit="1" customWidth="1"/>
    <col min="34" max="16384" width="9.1796875" style="2"/>
  </cols>
  <sheetData>
    <row r="1" spans="1:35" x14ac:dyDescent="0.3">
      <c r="A1" s="1">
        <v>1</v>
      </c>
    </row>
    <row r="2" spans="1:35" x14ac:dyDescent="0.3">
      <c r="A2" s="1">
        <f>A1+1</f>
        <v>2</v>
      </c>
    </row>
    <row r="3" spans="1:35" x14ac:dyDescent="0.3">
      <c r="A3" s="1">
        <f t="shared" ref="A3:A66" si="0">A2+1</f>
        <v>3</v>
      </c>
      <c r="B3" s="24" t="s">
        <v>115</v>
      </c>
    </row>
    <row r="4" spans="1:35" x14ac:dyDescent="0.3">
      <c r="A4" s="1">
        <f t="shared" si="0"/>
        <v>4</v>
      </c>
      <c r="B4" s="24" t="s">
        <v>41</v>
      </c>
      <c r="C4" s="44"/>
      <c r="D4" s="44"/>
      <c r="E4" s="149"/>
      <c r="F4" s="22"/>
      <c r="G4" s="150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35" x14ac:dyDescent="0.3">
      <c r="A5" s="1">
        <f t="shared" si="0"/>
        <v>5</v>
      </c>
      <c r="B5" s="24"/>
      <c r="C5" s="44"/>
      <c r="D5" s="44"/>
      <c r="E5" s="149"/>
      <c r="F5" s="22"/>
      <c r="G5" s="150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35" x14ac:dyDescent="0.3">
      <c r="A6" s="1">
        <f t="shared" si="0"/>
        <v>6</v>
      </c>
      <c r="B6" s="24" t="s">
        <v>202</v>
      </c>
      <c r="C6" s="44"/>
      <c r="D6" s="44"/>
      <c r="E6" s="149"/>
      <c r="F6" s="22"/>
      <c r="G6" s="150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35" x14ac:dyDescent="0.3">
      <c r="A7" s="1">
        <f t="shared" si="0"/>
        <v>7</v>
      </c>
      <c r="B7" s="1"/>
      <c r="C7" s="44"/>
      <c r="D7" s="44"/>
      <c r="E7" s="149"/>
      <c r="F7" s="22"/>
      <c r="G7" s="150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35" x14ac:dyDescent="0.3">
      <c r="A8" s="1">
        <f t="shared" si="0"/>
        <v>8</v>
      </c>
      <c r="B8" s="104"/>
      <c r="C8" s="44"/>
      <c r="D8" s="44"/>
      <c r="E8" s="44"/>
      <c r="F8" s="44"/>
      <c r="G8" s="132"/>
      <c r="H8" s="44"/>
    </row>
    <row r="9" spans="1:35" x14ac:dyDescent="0.3">
      <c r="A9" s="1">
        <f t="shared" si="0"/>
        <v>9</v>
      </c>
      <c r="B9" s="31"/>
      <c r="C9" s="44"/>
      <c r="D9" s="44"/>
      <c r="E9" s="44"/>
      <c r="F9" s="44"/>
      <c r="G9" s="132"/>
      <c r="H9" s="44"/>
    </row>
    <row r="10" spans="1:35" x14ac:dyDescent="0.3">
      <c r="A10" s="1">
        <f t="shared" si="0"/>
        <v>10</v>
      </c>
      <c r="B10" s="31"/>
      <c r="C10" s="104" t="s">
        <v>2</v>
      </c>
      <c r="D10" s="104" t="s">
        <v>2</v>
      </c>
      <c r="E10" s="32" t="str">
        <f>'EMA R1'!D10</f>
        <v>2024 Monthly Bill</v>
      </c>
      <c r="F10" s="32"/>
      <c r="G10" s="32"/>
      <c r="H10" s="133"/>
      <c r="I10" s="32" t="str">
        <f>'EMA R1'!H10</f>
        <v>2025 Illustrative Monthly Bill</v>
      </c>
      <c r="J10" s="32"/>
      <c r="K10" s="32"/>
      <c r="L10" s="23"/>
      <c r="M10" s="32" t="str">
        <f>'EMA R1'!L10</f>
        <v>2025 vs. 2024</v>
      </c>
      <c r="N10" s="32"/>
      <c r="O10" s="27"/>
      <c r="P10" s="32" t="str">
        <f>'EMA R1'!O10</f>
        <v>2026 Illustrative Monthly Bill</v>
      </c>
      <c r="Q10" s="32"/>
      <c r="R10" s="32"/>
      <c r="S10" s="133"/>
      <c r="T10" s="32" t="str">
        <f>'EMA R1'!S10</f>
        <v>2026 vs. 2025</v>
      </c>
      <c r="U10" s="32"/>
      <c r="V10" s="23"/>
      <c r="W10" s="32" t="str">
        <f>'EMA R1'!V10</f>
        <v>2027 Illustrative Monthly Bill</v>
      </c>
      <c r="X10" s="32"/>
      <c r="Y10" s="32"/>
      <c r="Z10" s="133"/>
      <c r="AA10" s="32" t="str">
        <f>'EMA R1'!Z10</f>
        <v>2027 vs. 2026</v>
      </c>
      <c r="AB10" s="32"/>
      <c r="AC10" s="44"/>
      <c r="AD10" s="44"/>
      <c r="AE10" s="44"/>
      <c r="AF10" s="44"/>
      <c r="AG10" s="44"/>
      <c r="AH10" s="44"/>
      <c r="AI10" s="44"/>
    </row>
    <row r="11" spans="1:35" x14ac:dyDescent="0.3">
      <c r="A11" s="1">
        <f t="shared" si="0"/>
        <v>11</v>
      </c>
      <c r="B11" s="31"/>
      <c r="C11" s="134" t="s">
        <v>125</v>
      </c>
      <c r="D11" s="134" t="s">
        <v>47</v>
      </c>
      <c r="E11" s="34" t="s">
        <v>48</v>
      </c>
      <c r="F11" s="34" t="s">
        <v>49</v>
      </c>
      <c r="G11" s="34" t="s">
        <v>50</v>
      </c>
      <c r="H11" s="34"/>
      <c r="I11" s="34" t="s">
        <v>48</v>
      </c>
      <c r="J11" s="34" t="s">
        <v>49</v>
      </c>
      <c r="K11" s="34" t="s">
        <v>50</v>
      </c>
      <c r="L11" s="23"/>
      <c r="M11" s="34" t="s">
        <v>51</v>
      </c>
      <c r="N11" s="34" t="s">
        <v>14</v>
      </c>
      <c r="O11" s="34"/>
      <c r="P11" s="34" t="s">
        <v>48</v>
      </c>
      <c r="Q11" s="34" t="s">
        <v>49</v>
      </c>
      <c r="R11" s="34" t="s">
        <v>50</v>
      </c>
      <c r="S11" s="34"/>
      <c r="T11" s="34" t="s">
        <v>51</v>
      </c>
      <c r="U11" s="34" t="s">
        <v>14</v>
      </c>
      <c r="V11" s="23"/>
      <c r="W11" s="34" t="s">
        <v>48</v>
      </c>
      <c r="X11" s="34" t="s">
        <v>49</v>
      </c>
      <c r="Y11" s="34" t="s">
        <v>50</v>
      </c>
      <c r="Z11" s="34"/>
      <c r="AA11" s="34" t="s">
        <v>51</v>
      </c>
      <c r="AB11" s="34" t="s">
        <v>14</v>
      </c>
      <c r="AC11" s="44"/>
      <c r="AD11" s="44"/>
      <c r="AE11" s="44"/>
      <c r="AF11" s="44"/>
      <c r="AG11" s="44"/>
      <c r="AH11" s="44"/>
      <c r="AI11" s="44"/>
    </row>
    <row r="12" spans="1:35" x14ac:dyDescent="0.3">
      <c r="A12" s="1">
        <f t="shared" si="0"/>
        <v>12</v>
      </c>
      <c r="B12" s="31"/>
      <c r="C12" s="134"/>
      <c r="D12" s="134"/>
      <c r="E12" s="134"/>
      <c r="F12" s="134"/>
      <c r="G12" s="134"/>
      <c r="H12" s="44"/>
      <c r="I12" s="134"/>
      <c r="J12" s="134"/>
      <c r="K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AB12" s="44"/>
      <c r="AC12" s="44"/>
      <c r="AD12" s="44"/>
      <c r="AE12" s="44"/>
      <c r="AF12" s="44"/>
      <c r="AG12" s="44"/>
      <c r="AH12" s="44"/>
      <c r="AI12" s="44"/>
    </row>
    <row r="13" spans="1:35" x14ac:dyDescent="0.3">
      <c r="A13" s="1">
        <f t="shared" si="0"/>
        <v>13</v>
      </c>
      <c r="B13" s="31"/>
      <c r="C13" s="164" t="s">
        <v>126</v>
      </c>
      <c r="D13" s="104">
        <v>250</v>
      </c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AB13" s="44"/>
      <c r="AC13" s="44"/>
      <c r="AD13" s="44"/>
      <c r="AE13" s="44"/>
      <c r="AF13" s="44"/>
      <c r="AG13" s="44"/>
      <c r="AH13" s="44"/>
      <c r="AI13" s="44"/>
    </row>
    <row r="14" spans="1:35" x14ac:dyDescent="0.3">
      <c r="A14" s="1">
        <f t="shared" si="0"/>
        <v>14</v>
      </c>
      <c r="B14" s="31"/>
      <c r="C14" s="105">
        <v>15</v>
      </c>
      <c r="D14" s="106">
        <f>C14*$D$13</f>
        <v>3750</v>
      </c>
      <c r="E14" s="193">
        <f>ROUND($G$75+$C14*$G$76+$D14*$E$71*$G$77+$D14*$E$72*$G$78,2)</f>
        <v>531.6</v>
      </c>
      <c r="F14" s="193">
        <f>ROUND($D14*$G$79,2)</f>
        <v>390.86</v>
      </c>
      <c r="G14" s="193">
        <f>SUM(E14:F14)</f>
        <v>922.46</v>
      </c>
      <c r="H14" s="194"/>
      <c r="I14" s="193">
        <f>ROUND($I$75+$C14*$I$76+$D14*$E$71*$I$77+$D14*$E$72*$I$78,2)</f>
        <v>601.02</v>
      </c>
      <c r="J14" s="193">
        <f>ROUND($D14*$I$79,2)</f>
        <v>390.86</v>
      </c>
      <c r="K14" s="193">
        <f>SUM(I14:J14)</f>
        <v>991.88</v>
      </c>
      <c r="L14" s="136"/>
      <c r="M14" s="135">
        <f>+K14-G14</f>
        <v>69.419999999999959</v>
      </c>
      <c r="N14" s="137">
        <f>+M14/G14</f>
        <v>7.5255295622574367E-2</v>
      </c>
      <c r="O14" s="135"/>
      <c r="P14" s="193">
        <f>ROUND($J$75+$C14*$J$76+$D14*$E$71*$J$77+$D14*$E$72*$J$78,2)</f>
        <v>612.08000000000004</v>
      </c>
      <c r="Q14" s="193">
        <f>ROUND($D14*$J$79,2)</f>
        <v>390.86</v>
      </c>
      <c r="R14" s="193">
        <f>SUM(P14:Q14)</f>
        <v>1002.94</v>
      </c>
      <c r="S14" s="136"/>
      <c r="T14" s="135">
        <f>+R14-K14</f>
        <v>11.060000000000059</v>
      </c>
      <c r="U14" s="137">
        <f>+T14/K14</f>
        <v>1.1150542404323163E-2</v>
      </c>
      <c r="V14" s="135"/>
      <c r="W14" s="193">
        <f>ROUND($K$75+$C14*$K$76+$D14*$E$71*$K$77+$D14*$E$72*$K$78,2)</f>
        <v>611.33000000000004</v>
      </c>
      <c r="X14" s="193">
        <f>ROUND($D14*$K$79,2)</f>
        <v>390.86</v>
      </c>
      <c r="Y14" s="193">
        <f>SUM(W14:X14)</f>
        <v>1002.19</v>
      </c>
      <c r="Z14" s="136"/>
      <c r="AA14" s="135">
        <f>+Y14-R14</f>
        <v>-0.75</v>
      </c>
      <c r="AB14" s="137">
        <f>+AA14/R14</f>
        <v>-7.478014636967316E-4</v>
      </c>
      <c r="AC14" s="136"/>
      <c r="AD14" s="136"/>
      <c r="AE14" s="136"/>
      <c r="AF14" s="136"/>
      <c r="AG14" s="136"/>
      <c r="AH14" s="136"/>
      <c r="AI14" s="136"/>
    </row>
    <row r="15" spans="1:35" x14ac:dyDescent="0.3">
      <c r="A15" s="1">
        <f t="shared" si="0"/>
        <v>15</v>
      </c>
      <c r="B15" s="31"/>
      <c r="C15" s="105">
        <v>80</v>
      </c>
      <c r="D15" s="106">
        <f t="shared" ref="D15:D19" si="1">C15*$D$13</f>
        <v>20000</v>
      </c>
      <c r="E15" s="193">
        <f t="shared" ref="E15:E35" si="2">ROUND($G$75+$C15*$G$76+$D15*$E$71*$G$77+$D15*$E$72*$G$78,2)</f>
        <v>2358.5500000000002</v>
      </c>
      <c r="F15" s="193">
        <f>ROUND($D15*$G$79,2)</f>
        <v>2084.6</v>
      </c>
      <c r="G15" s="193">
        <f t="shared" ref="G15:G19" si="3">SUM(E15:F15)</f>
        <v>4443.1499999999996</v>
      </c>
      <c r="H15" s="194"/>
      <c r="I15" s="193">
        <f t="shared" ref="I15:I35" si="4">ROUND($I$75+$C15*$I$76+$D15*$E$71*$I$77+$D15*$E$72*$I$78,2)</f>
        <v>2728.75</v>
      </c>
      <c r="J15" s="193">
        <f>ROUND($D15*$I$79,2)</f>
        <v>2084.6</v>
      </c>
      <c r="K15" s="193">
        <f t="shared" ref="K15:K19" si="5">SUM(I15:J15)</f>
        <v>4813.3500000000004</v>
      </c>
      <c r="L15" s="136"/>
      <c r="M15" s="135">
        <f t="shared" ref="M15:M19" si="6">+K15-G15</f>
        <v>370.20000000000073</v>
      </c>
      <c r="N15" s="137">
        <f t="shared" ref="N15:N19" si="7">+M15/G15</f>
        <v>8.3319266736437164E-2</v>
      </c>
      <c r="O15" s="135"/>
      <c r="P15" s="193">
        <f t="shared" ref="P15:P35" si="8">ROUND($J$75+$C15*$J$76+$D15*$E$71*$J$77+$D15*$E$72*$J$78,2)</f>
        <v>2787.75</v>
      </c>
      <c r="Q15" s="193">
        <f t="shared" ref="Q15:Q35" si="9">ROUND($D15*$J$79,2)</f>
        <v>2084.6</v>
      </c>
      <c r="R15" s="193">
        <f t="shared" ref="R15:R19" si="10">SUM(P15:Q15)</f>
        <v>4872.3500000000004</v>
      </c>
      <c r="S15" s="136"/>
      <c r="T15" s="135">
        <f t="shared" ref="T15:T35" si="11">+R15-K15</f>
        <v>59</v>
      </c>
      <c r="U15" s="137">
        <f t="shared" ref="U15:U35" si="12">+T15/K15</f>
        <v>1.2257575285404136E-2</v>
      </c>
      <c r="V15" s="135"/>
      <c r="W15" s="193">
        <f t="shared" ref="W15:W35" si="13">ROUND($K$75+$C15*$K$76+$D15*$E$71*$K$77+$D15*$E$72*$K$78,2)</f>
        <v>2783.75</v>
      </c>
      <c r="X15" s="193">
        <f t="shared" ref="X15:X35" si="14">ROUND($D15*$K$79,2)</f>
        <v>2084.6</v>
      </c>
      <c r="Y15" s="193">
        <f t="shared" ref="Y15:Y19" si="15">SUM(W15:X15)</f>
        <v>4868.3500000000004</v>
      </c>
      <c r="Z15" s="136"/>
      <c r="AA15" s="135">
        <f t="shared" ref="AA15:AA35" si="16">+Y15-R15</f>
        <v>-4</v>
      </c>
      <c r="AB15" s="137">
        <f t="shared" ref="AB15:AB35" si="17">+AA15/R15</f>
        <v>-8.2095908545157877E-4</v>
      </c>
      <c r="AC15" s="136"/>
      <c r="AD15" s="136"/>
      <c r="AE15" s="136"/>
      <c r="AF15" s="136"/>
      <c r="AG15" s="136"/>
      <c r="AH15" s="136"/>
      <c r="AI15" s="136"/>
    </row>
    <row r="16" spans="1:35" x14ac:dyDescent="0.3">
      <c r="A16" s="1">
        <f t="shared" si="0"/>
        <v>16</v>
      </c>
      <c r="B16" s="31"/>
      <c r="C16" s="105">
        <v>115</v>
      </c>
      <c r="D16" s="106">
        <f t="shared" si="1"/>
        <v>28750</v>
      </c>
      <c r="E16" s="193">
        <f>ROUND($G$75+$C16*$G$76+$D16*$E$71*$G$77+$D16*$E$72*$G$78,2)</f>
        <v>3342.29</v>
      </c>
      <c r="F16" s="193">
        <f t="shared" ref="F16:F35" si="18">ROUND($D16*$G$79,2)</f>
        <v>2996.61</v>
      </c>
      <c r="G16" s="193">
        <f t="shared" si="3"/>
        <v>6338.9</v>
      </c>
      <c r="H16" s="194"/>
      <c r="I16" s="193">
        <f t="shared" si="4"/>
        <v>3874.46</v>
      </c>
      <c r="J16" s="193">
        <f t="shared" ref="J16:J35" si="19">ROUND($D16*$I$79,2)</f>
        <v>2996.61</v>
      </c>
      <c r="K16" s="193">
        <f t="shared" si="5"/>
        <v>6871.07</v>
      </c>
      <c r="L16" s="136"/>
      <c r="M16" s="135">
        <f t="shared" si="6"/>
        <v>532.17000000000007</v>
      </c>
      <c r="N16" s="137">
        <f t="shared" si="7"/>
        <v>8.3953051791320274E-2</v>
      </c>
      <c r="O16" s="135"/>
      <c r="P16" s="193">
        <f>ROUND($J$75+$C16*$J$76+$D16*$E$71*$J$77+$D16*$E$72*$J$78,2)</f>
        <v>3959.27</v>
      </c>
      <c r="Q16" s="193">
        <f>ROUND($D16*$J$79,2)</f>
        <v>2996.61</v>
      </c>
      <c r="R16" s="193">
        <f t="shared" si="10"/>
        <v>6955.88</v>
      </c>
      <c r="S16" s="136"/>
      <c r="T16" s="135">
        <f t="shared" si="11"/>
        <v>84.8100000000004</v>
      </c>
      <c r="U16" s="137">
        <f t="shared" si="12"/>
        <v>1.2343055739499146E-2</v>
      </c>
      <c r="V16" s="135"/>
      <c r="W16" s="193">
        <f t="shared" si="13"/>
        <v>3953.52</v>
      </c>
      <c r="X16" s="193">
        <f t="shared" si="14"/>
        <v>2996.61</v>
      </c>
      <c r="Y16" s="193">
        <f t="shared" si="15"/>
        <v>6950.13</v>
      </c>
      <c r="Z16" s="136"/>
      <c r="AA16" s="135">
        <f t="shared" si="16"/>
        <v>-5.75</v>
      </c>
      <c r="AB16" s="137">
        <f t="shared" si="17"/>
        <v>-8.2663875742537251E-4</v>
      </c>
      <c r="AC16" s="136"/>
      <c r="AD16" s="136"/>
      <c r="AE16" s="136"/>
      <c r="AF16" s="136"/>
      <c r="AG16" s="136"/>
      <c r="AH16" s="136"/>
      <c r="AI16" s="136"/>
    </row>
    <row r="17" spans="1:35" x14ac:dyDescent="0.3">
      <c r="A17" s="1">
        <f t="shared" si="0"/>
        <v>17</v>
      </c>
      <c r="B17" s="31"/>
      <c r="C17" s="105">
        <v>170</v>
      </c>
      <c r="D17" s="106">
        <f t="shared" si="1"/>
        <v>42500</v>
      </c>
      <c r="E17" s="193">
        <f t="shared" si="2"/>
        <v>4888.17</v>
      </c>
      <c r="F17" s="193">
        <f t="shared" si="18"/>
        <v>4429.78</v>
      </c>
      <c r="G17" s="193">
        <f t="shared" si="3"/>
        <v>9317.9500000000007</v>
      </c>
      <c r="H17" s="194"/>
      <c r="I17" s="193">
        <f t="shared" si="4"/>
        <v>5674.85</v>
      </c>
      <c r="J17" s="193">
        <f t="shared" si="19"/>
        <v>4429.78</v>
      </c>
      <c r="K17" s="193">
        <f t="shared" si="5"/>
        <v>10104.630000000001</v>
      </c>
      <c r="L17" s="136"/>
      <c r="M17" s="135">
        <f t="shared" si="6"/>
        <v>786.68000000000029</v>
      </c>
      <c r="N17" s="137">
        <f t="shared" si="7"/>
        <v>8.4426295483448641E-2</v>
      </c>
      <c r="O17" s="135"/>
      <c r="P17" s="193">
        <f t="shared" si="8"/>
        <v>5800.22</v>
      </c>
      <c r="Q17" s="193">
        <f t="shared" si="9"/>
        <v>4429.78</v>
      </c>
      <c r="R17" s="193">
        <f t="shared" si="10"/>
        <v>10230</v>
      </c>
      <c r="S17" s="136"/>
      <c r="T17" s="135">
        <f t="shared" si="11"/>
        <v>125.36999999999898</v>
      </c>
      <c r="U17" s="137">
        <f t="shared" si="12"/>
        <v>1.2407183637599691E-2</v>
      </c>
      <c r="V17" s="135"/>
      <c r="W17" s="193">
        <f>ROUND($K$75+$C17*$K$76+$D17*$E$71*$K$77+$D17*$E$72*$K$78,2)</f>
        <v>5791.72</v>
      </c>
      <c r="X17" s="193">
        <f>ROUND($D17*$K$79,2)</f>
        <v>4429.78</v>
      </c>
      <c r="Y17" s="193">
        <f t="shared" si="15"/>
        <v>10221.5</v>
      </c>
      <c r="Z17" s="136"/>
      <c r="AA17" s="135">
        <f t="shared" si="16"/>
        <v>-8.5</v>
      </c>
      <c r="AB17" s="137">
        <f t="shared" si="17"/>
        <v>-8.3088954056695992E-4</v>
      </c>
      <c r="AC17" s="136"/>
      <c r="AD17" s="136"/>
      <c r="AE17" s="136"/>
      <c r="AF17" s="136"/>
      <c r="AG17" s="136"/>
      <c r="AH17" s="136"/>
      <c r="AI17" s="136"/>
    </row>
    <row r="18" spans="1:35" x14ac:dyDescent="0.3">
      <c r="A18" s="1">
        <f t="shared" si="0"/>
        <v>18</v>
      </c>
      <c r="B18" s="31"/>
      <c r="C18" s="105">
        <v>280</v>
      </c>
      <c r="D18" s="106">
        <f t="shared" si="1"/>
        <v>70000</v>
      </c>
      <c r="E18" s="193">
        <f t="shared" si="2"/>
        <v>7979.93</v>
      </c>
      <c r="F18" s="193">
        <f t="shared" si="18"/>
        <v>7296.1</v>
      </c>
      <c r="G18" s="193">
        <f t="shared" si="3"/>
        <v>15276.03</v>
      </c>
      <c r="H18" s="194"/>
      <c r="I18" s="193">
        <f t="shared" si="4"/>
        <v>9275.6299999999992</v>
      </c>
      <c r="J18" s="193">
        <f t="shared" si="19"/>
        <v>7296.1</v>
      </c>
      <c r="K18" s="193">
        <f t="shared" si="5"/>
        <v>16571.73</v>
      </c>
      <c r="L18" s="136"/>
      <c r="M18" s="135">
        <f t="shared" si="6"/>
        <v>1295.6999999999989</v>
      </c>
      <c r="N18" s="137">
        <f t="shared" si="7"/>
        <v>8.4819157857113331E-2</v>
      </c>
      <c r="O18" s="135"/>
      <c r="P18" s="193">
        <f t="shared" si="8"/>
        <v>9482.1299999999992</v>
      </c>
      <c r="Q18" s="193">
        <f t="shared" si="9"/>
        <v>7296.1</v>
      </c>
      <c r="R18" s="193">
        <f t="shared" si="10"/>
        <v>16778.23</v>
      </c>
      <c r="S18" s="136"/>
      <c r="T18" s="135">
        <f t="shared" si="11"/>
        <v>206.5</v>
      </c>
      <c r="U18" s="137">
        <f t="shared" si="12"/>
        <v>1.2460980235618129E-2</v>
      </c>
      <c r="V18" s="135"/>
      <c r="W18" s="193">
        <f t="shared" si="13"/>
        <v>9468.1299999999992</v>
      </c>
      <c r="X18" s="193">
        <f t="shared" si="14"/>
        <v>7296.1</v>
      </c>
      <c r="Y18" s="193">
        <f t="shared" si="15"/>
        <v>16764.23</v>
      </c>
      <c r="Z18" s="136"/>
      <c r="AA18" s="135">
        <f t="shared" si="16"/>
        <v>-14</v>
      </c>
      <c r="AB18" s="137">
        <f t="shared" si="17"/>
        <v>-8.3441459558010586E-4</v>
      </c>
      <c r="AC18" s="136"/>
      <c r="AD18" s="136"/>
      <c r="AE18" s="136"/>
      <c r="AF18" s="136"/>
      <c r="AG18" s="136"/>
      <c r="AH18" s="136"/>
      <c r="AI18" s="136"/>
    </row>
    <row r="19" spans="1:35" x14ac:dyDescent="0.3">
      <c r="A19" s="1">
        <f t="shared" si="0"/>
        <v>19</v>
      </c>
      <c r="B19" s="31" t="s">
        <v>52</v>
      </c>
      <c r="C19" s="105">
        <v>130</v>
      </c>
      <c r="D19" s="106">
        <f t="shared" si="1"/>
        <v>32500</v>
      </c>
      <c r="E19" s="193">
        <f t="shared" si="2"/>
        <v>3763.9</v>
      </c>
      <c r="F19" s="193">
        <f t="shared" si="18"/>
        <v>3387.48</v>
      </c>
      <c r="G19" s="193">
        <f t="shared" si="3"/>
        <v>7151.38</v>
      </c>
      <c r="H19" s="194"/>
      <c r="I19" s="193">
        <f t="shared" si="4"/>
        <v>4365.47</v>
      </c>
      <c r="J19" s="193">
        <f t="shared" si="19"/>
        <v>3387.48</v>
      </c>
      <c r="K19" s="193">
        <f t="shared" si="5"/>
        <v>7752.9500000000007</v>
      </c>
      <c r="L19" s="136"/>
      <c r="M19" s="135">
        <f t="shared" si="6"/>
        <v>601.57000000000062</v>
      </c>
      <c r="N19" s="137">
        <f t="shared" si="7"/>
        <v>8.4119428697678023E-2</v>
      </c>
      <c r="O19" s="135"/>
      <c r="P19" s="193">
        <f t="shared" si="8"/>
        <v>4461.3500000000004</v>
      </c>
      <c r="Q19" s="193">
        <f t="shared" si="9"/>
        <v>3387.48</v>
      </c>
      <c r="R19" s="193">
        <f t="shared" si="10"/>
        <v>7848.83</v>
      </c>
      <c r="S19" s="136"/>
      <c r="T19" s="135">
        <f t="shared" si="11"/>
        <v>95.8799999999992</v>
      </c>
      <c r="U19" s="137">
        <f t="shared" si="12"/>
        <v>1.2366905500486807E-2</v>
      </c>
      <c r="V19" s="135"/>
      <c r="W19" s="193">
        <f t="shared" si="13"/>
        <v>4454.8500000000004</v>
      </c>
      <c r="X19" s="193">
        <f t="shared" si="14"/>
        <v>3387.48</v>
      </c>
      <c r="Y19" s="193">
        <f t="shared" si="15"/>
        <v>7842.33</v>
      </c>
      <c r="Z19" s="136"/>
      <c r="AA19" s="135">
        <f t="shared" si="16"/>
        <v>-6.5</v>
      </c>
      <c r="AB19" s="137">
        <f t="shared" si="17"/>
        <v>-8.2814890881825699E-4</v>
      </c>
      <c r="AC19" s="136"/>
      <c r="AD19" s="136"/>
      <c r="AE19" s="136"/>
      <c r="AF19" s="136"/>
      <c r="AG19" s="136"/>
      <c r="AH19" s="136"/>
      <c r="AI19" s="136"/>
    </row>
    <row r="20" spans="1:35" x14ac:dyDescent="0.3">
      <c r="A20" s="1">
        <f t="shared" si="0"/>
        <v>20</v>
      </c>
      <c r="B20" s="31"/>
      <c r="C20" s="158"/>
      <c r="D20" s="158"/>
      <c r="E20" s="193"/>
      <c r="F20" s="193"/>
      <c r="G20" s="153"/>
      <c r="H20" s="159"/>
      <c r="I20" s="193"/>
      <c r="J20" s="193"/>
      <c r="K20" s="153"/>
      <c r="L20" s="159"/>
      <c r="M20" s="153"/>
      <c r="N20" s="160"/>
      <c r="O20" s="153"/>
      <c r="P20" s="193"/>
      <c r="Q20" s="193"/>
      <c r="R20" s="153"/>
      <c r="S20" s="159"/>
      <c r="T20" s="135"/>
      <c r="U20" s="137"/>
      <c r="V20" s="153"/>
      <c r="W20" s="193"/>
      <c r="X20" s="193"/>
      <c r="Y20" s="153"/>
      <c r="Z20" s="159"/>
      <c r="AA20" s="135"/>
      <c r="AB20" s="137"/>
    </row>
    <row r="21" spans="1:35" x14ac:dyDescent="0.3">
      <c r="A21" s="1">
        <f t="shared" si="0"/>
        <v>21</v>
      </c>
      <c r="B21" s="31"/>
      <c r="C21" s="164" t="s">
        <v>126</v>
      </c>
      <c r="D21" s="104">
        <v>400</v>
      </c>
      <c r="E21" s="193"/>
      <c r="F21" s="193"/>
      <c r="G21" s="153"/>
      <c r="H21" s="159"/>
      <c r="I21" s="193"/>
      <c r="J21" s="193"/>
      <c r="K21" s="153"/>
      <c r="L21" s="159"/>
      <c r="M21" s="153"/>
      <c r="N21" s="160"/>
      <c r="O21" s="153"/>
      <c r="P21" s="193"/>
      <c r="Q21" s="193"/>
      <c r="R21" s="153"/>
      <c r="S21" s="159"/>
      <c r="T21" s="135"/>
      <c r="U21" s="137"/>
      <c r="V21" s="153"/>
      <c r="W21" s="193"/>
      <c r="X21" s="193"/>
      <c r="Y21" s="153"/>
      <c r="Z21" s="159"/>
      <c r="AA21" s="135"/>
      <c r="AB21" s="137"/>
    </row>
    <row r="22" spans="1:35" x14ac:dyDescent="0.3">
      <c r="A22" s="1">
        <f t="shared" si="0"/>
        <v>22</v>
      </c>
      <c r="B22" s="31"/>
      <c r="C22" s="105">
        <v>45</v>
      </c>
      <c r="D22" s="106">
        <f>C22*$D$21</f>
        <v>18000</v>
      </c>
      <c r="E22" s="193">
        <f t="shared" si="2"/>
        <v>1509.46</v>
      </c>
      <c r="F22" s="193">
        <f t="shared" si="18"/>
        <v>1876.14</v>
      </c>
      <c r="G22" s="193">
        <f>SUM(E22:F22)</f>
        <v>3385.6000000000004</v>
      </c>
      <c r="H22" s="194"/>
      <c r="I22" s="193">
        <f t="shared" si="4"/>
        <v>1842.64</v>
      </c>
      <c r="J22" s="193">
        <f t="shared" si="19"/>
        <v>1876.14</v>
      </c>
      <c r="K22" s="193">
        <f>SUM(I22:J22)</f>
        <v>3718.78</v>
      </c>
      <c r="L22" s="136"/>
      <c r="M22" s="135">
        <f t="shared" ref="M22:M27" si="20">+K22-G22</f>
        <v>333.17999999999984</v>
      </c>
      <c r="N22" s="137">
        <f t="shared" ref="N22:N27" si="21">+M22/G22</f>
        <v>9.8410916824196532E-2</v>
      </c>
      <c r="O22" s="135"/>
      <c r="P22" s="193">
        <f t="shared" si="8"/>
        <v>1895.74</v>
      </c>
      <c r="Q22" s="193">
        <f t="shared" si="9"/>
        <v>1876.14</v>
      </c>
      <c r="R22" s="193">
        <f>SUM(P22:Q22)</f>
        <v>3771.88</v>
      </c>
      <c r="S22" s="136"/>
      <c r="T22" s="135">
        <f t="shared" si="11"/>
        <v>53.099999999999909</v>
      </c>
      <c r="U22" s="137">
        <f t="shared" si="12"/>
        <v>1.427887640570292E-2</v>
      </c>
      <c r="V22" s="135"/>
      <c r="W22" s="193">
        <f t="shared" si="13"/>
        <v>1892.14</v>
      </c>
      <c r="X22" s="193">
        <f t="shared" si="14"/>
        <v>1876.14</v>
      </c>
      <c r="Y22" s="193">
        <f>SUM(W22:X22)</f>
        <v>3768.28</v>
      </c>
      <c r="Z22" s="136"/>
      <c r="AA22" s="135">
        <f t="shared" si="16"/>
        <v>-3.5999999999999091</v>
      </c>
      <c r="AB22" s="137">
        <f t="shared" si="17"/>
        <v>-9.5443121202156724E-4</v>
      </c>
      <c r="AC22" s="136"/>
      <c r="AD22" s="136"/>
      <c r="AE22" s="136"/>
      <c r="AF22" s="136"/>
      <c r="AG22" s="136"/>
      <c r="AH22" s="136"/>
      <c r="AI22" s="136"/>
    </row>
    <row r="23" spans="1:35" x14ac:dyDescent="0.3">
      <c r="A23" s="1">
        <f t="shared" si="0"/>
        <v>23</v>
      </c>
      <c r="B23" s="31"/>
      <c r="C23" s="105">
        <v>70</v>
      </c>
      <c r="D23" s="106">
        <f t="shared" ref="D23:D27" si="22">C23*$D$21</f>
        <v>28000</v>
      </c>
      <c r="E23" s="193">
        <f t="shared" si="2"/>
        <v>2286.9299999999998</v>
      </c>
      <c r="F23" s="193">
        <f t="shared" si="18"/>
        <v>2918.44</v>
      </c>
      <c r="G23" s="193">
        <f t="shared" ref="G23:G27" si="23">SUM(E23:F23)</f>
        <v>5205.37</v>
      </c>
      <c r="H23" s="194"/>
      <c r="I23" s="193">
        <f t="shared" si="4"/>
        <v>2805.21</v>
      </c>
      <c r="J23" s="193">
        <f t="shared" si="19"/>
        <v>2918.44</v>
      </c>
      <c r="K23" s="193">
        <f t="shared" ref="K23:K27" si="24">SUM(I23:J23)</f>
        <v>5723.65</v>
      </c>
      <c r="L23" s="136"/>
      <c r="M23" s="135">
        <f t="shared" si="20"/>
        <v>518.27999999999975</v>
      </c>
      <c r="N23" s="137">
        <f t="shared" si="21"/>
        <v>9.9566409304237699E-2</v>
      </c>
      <c r="O23" s="135"/>
      <c r="P23" s="193">
        <f t="shared" si="8"/>
        <v>2887.81</v>
      </c>
      <c r="Q23" s="193">
        <f t="shared" si="9"/>
        <v>2918.44</v>
      </c>
      <c r="R23" s="193">
        <f t="shared" ref="R23:R27" si="25">SUM(P23:Q23)</f>
        <v>5806.25</v>
      </c>
      <c r="S23" s="136"/>
      <c r="T23" s="135">
        <f t="shared" si="11"/>
        <v>82.600000000000364</v>
      </c>
      <c r="U23" s="137">
        <f t="shared" si="12"/>
        <v>1.4431350624164715E-2</v>
      </c>
      <c r="V23" s="135"/>
      <c r="W23" s="193">
        <f t="shared" si="13"/>
        <v>2882.21</v>
      </c>
      <c r="X23" s="193">
        <f t="shared" si="14"/>
        <v>2918.44</v>
      </c>
      <c r="Y23" s="193">
        <f t="shared" ref="Y23:Y27" si="26">SUM(W23:X23)</f>
        <v>5800.65</v>
      </c>
      <c r="Z23" s="136"/>
      <c r="AA23" s="135">
        <f t="shared" si="16"/>
        <v>-5.6000000000003638</v>
      </c>
      <c r="AB23" s="137">
        <f t="shared" si="17"/>
        <v>-9.6447793326163425E-4</v>
      </c>
      <c r="AC23" s="136"/>
      <c r="AD23" s="136"/>
      <c r="AE23" s="136"/>
      <c r="AF23" s="136"/>
      <c r="AG23" s="136"/>
      <c r="AH23" s="136"/>
      <c r="AI23" s="136"/>
    </row>
    <row r="24" spans="1:35" x14ac:dyDescent="0.3">
      <c r="A24" s="1">
        <f t="shared" si="0"/>
        <v>24</v>
      </c>
      <c r="B24" s="31"/>
      <c r="C24" s="105">
        <v>120</v>
      </c>
      <c r="D24" s="106">
        <f t="shared" si="22"/>
        <v>48000</v>
      </c>
      <c r="E24" s="193">
        <f t="shared" si="2"/>
        <v>3841.88</v>
      </c>
      <c r="F24" s="193">
        <f>ROUND($D24*$G$79,2)</f>
        <v>5003.04</v>
      </c>
      <c r="G24" s="193">
        <f t="shared" si="23"/>
        <v>8844.92</v>
      </c>
      <c r="H24" s="194"/>
      <c r="I24" s="193">
        <f t="shared" si="4"/>
        <v>4730.3599999999997</v>
      </c>
      <c r="J24" s="193">
        <f>ROUND($D24*$I$79,2)</f>
        <v>5003.04</v>
      </c>
      <c r="K24" s="193">
        <f t="shared" si="24"/>
        <v>9733.4</v>
      </c>
      <c r="L24" s="136"/>
      <c r="M24" s="135">
        <f t="shared" si="20"/>
        <v>888.47999999999956</v>
      </c>
      <c r="N24" s="137">
        <f t="shared" si="21"/>
        <v>0.10045088027930152</v>
      </c>
      <c r="O24" s="135"/>
      <c r="P24" s="193">
        <f t="shared" si="8"/>
        <v>4871.96</v>
      </c>
      <c r="Q24" s="193">
        <f t="shared" si="9"/>
        <v>5003.04</v>
      </c>
      <c r="R24" s="193">
        <f t="shared" si="25"/>
        <v>9875</v>
      </c>
      <c r="S24" s="136"/>
      <c r="T24" s="135">
        <f t="shared" si="11"/>
        <v>141.60000000000036</v>
      </c>
      <c r="U24" s="137">
        <f t="shared" si="12"/>
        <v>1.4547845562701663E-2</v>
      </c>
      <c r="V24" s="135"/>
      <c r="W24" s="193">
        <f>ROUND($K$75+$C24*$K$76+$D24*$E$71*$K$77+$D24*$E$72*$K$78,2)</f>
        <v>4862.3599999999997</v>
      </c>
      <c r="X24" s="193">
        <f t="shared" si="14"/>
        <v>5003.04</v>
      </c>
      <c r="Y24" s="193">
        <f t="shared" si="26"/>
        <v>9865.4</v>
      </c>
      <c r="Z24" s="136"/>
      <c r="AA24" s="135">
        <f t="shared" si="16"/>
        <v>-9.6000000000003638</v>
      </c>
      <c r="AB24" s="137">
        <f t="shared" si="17"/>
        <v>-9.7215189873421409E-4</v>
      </c>
      <c r="AC24" s="136"/>
      <c r="AD24" s="136"/>
      <c r="AE24" s="136"/>
      <c r="AF24" s="136"/>
      <c r="AG24" s="136"/>
      <c r="AH24" s="136"/>
      <c r="AI24" s="136"/>
    </row>
    <row r="25" spans="1:35" x14ac:dyDescent="0.3">
      <c r="A25" s="1">
        <f t="shared" si="0"/>
        <v>25</v>
      </c>
      <c r="B25" s="31"/>
      <c r="C25" s="105">
        <v>210</v>
      </c>
      <c r="D25" s="106">
        <f t="shared" si="22"/>
        <v>84000</v>
      </c>
      <c r="E25" s="193">
        <f t="shared" si="2"/>
        <v>6640.8</v>
      </c>
      <c r="F25" s="193">
        <f t="shared" si="18"/>
        <v>8755.32</v>
      </c>
      <c r="G25" s="193">
        <f t="shared" si="23"/>
        <v>15396.119999999999</v>
      </c>
      <c r="H25" s="194"/>
      <c r="I25" s="193">
        <f t="shared" si="4"/>
        <v>8195.64</v>
      </c>
      <c r="J25" s="193">
        <f t="shared" si="19"/>
        <v>8755.32</v>
      </c>
      <c r="K25" s="193">
        <f t="shared" si="24"/>
        <v>16950.96</v>
      </c>
      <c r="L25" s="136"/>
      <c r="M25" s="135">
        <f t="shared" si="20"/>
        <v>1554.8400000000001</v>
      </c>
      <c r="N25" s="137">
        <f t="shared" si="21"/>
        <v>0.10098908036570255</v>
      </c>
      <c r="O25" s="135"/>
      <c r="P25" s="193">
        <f>ROUND($J$75+$C25*$J$76+$D25*$E$71*$J$77+$D25*$E$72*$J$78,2)</f>
        <v>8443.44</v>
      </c>
      <c r="Q25" s="193">
        <f>ROUND($D25*$J$79,2)</f>
        <v>8755.32</v>
      </c>
      <c r="R25" s="193">
        <f t="shared" si="25"/>
        <v>17198.760000000002</v>
      </c>
      <c r="S25" s="136"/>
      <c r="T25" s="135">
        <f t="shared" si="11"/>
        <v>247.80000000000291</v>
      </c>
      <c r="U25" s="137">
        <f t="shared" si="12"/>
        <v>1.4618641068116668E-2</v>
      </c>
      <c r="V25" s="135"/>
      <c r="W25" s="193">
        <f t="shared" si="13"/>
        <v>8426.64</v>
      </c>
      <c r="X25" s="193">
        <f t="shared" si="14"/>
        <v>8755.32</v>
      </c>
      <c r="Y25" s="193">
        <f t="shared" si="26"/>
        <v>17181.96</v>
      </c>
      <c r="Z25" s="136"/>
      <c r="AA25" s="135">
        <f t="shared" si="16"/>
        <v>-16.80000000000291</v>
      </c>
      <c r="AB25" s="137">
        <f t="shared" si="17"/>
        <v>-9.7681460756490041E-4</v>
      </c>
      <c r="AC25" s="136"/>
      <c r="AD25" s="136"/>
      <c r="AE25" s="136"/>
      <c r="AF25" s="136"/>
      <c r="AG25" s="136"/>
      <c r="AH25" s="136"/>
      <c r="AI25" s="136"/>
    </row>
    <row r="26" spans="1:35" x14ac:dyDescent="0.3">
      <c r="A26" s="1">
        <f t="shared" si="0"/>
        <v>26</v>
      </c>
      <c r="B26" s="31"/>
      <c r="C26" s="105">
        <v>270</v>
      </c>
      <c r="D26" s="106">
        <f t="shared" si="22"/>
        <v>108000</v>
      </c>
      <c r="E26" s="193">
        <f>ROUND($G$75+$C26*$G$76+$D26*$E$71*$G$77+$D26*$E$72*$G$78,2)</f>
        <v>8506.74</v>
      </c>
      <c r="F26" s="193">
        <f t="shared" si="18"/>
        <v>11256.84</v>
      </c>
      <c r="G26" s="193">
        <f t="shared" si="23"/>
        <v>19763.580000000002</v>
      </c>
      <c r="H26" s="194"/>
      <c r="I26" s="193">
        <f t="shared" si="4"/>
        <v>10505.82</v>
      </c>
      <c r="J26" s="193">
        <f t="shared" si="19"/>
        <v>11256.84</v>
      </c>
      <c r="K26" s="193">
        <f t="shared" si="24"/>
        <v>21762.66</v>
      </c>
      <c r="L26" s="136"/>
      <c r="M26" s="135">
        <f t="shared" si="20"/>
        <v>1999.0799999999981</v>
      </c>
      <c r="N26" s="137">
        <f t="shared" si="21"/>
        <v>0.10114969049129753</v>
      </c>
      <c r="O26" s="135"/>
      <c r="P26" s="193">
        <f t="shared" si="8"/>
        <v>10824.42</v>
      </c>
      <c r="Q26" s="193">
        <f t="shared" si="9"/>
        <v>11256.84</v>
      </c>
      <c r="R26" s="193">
        <f t="shared" si="25"/>
        <v>22081.260000000002</v>
      </c>
      <c r="S26" s="136"/>
      <c r="T26" s="135">
        <f t="shared" si="11"/>
        <v>318.60000000000218</v>
      </c>
      <c r="U26" s="137">
        <f t="shared" si="12"/>
        <v>1.4639754515302918E-2</v>
      </c>
      <c r="V26" s="135"/>
      <c r="W26" s="193">
        <f t="shared" si="13"/>
        <v>10802.82</v>
      </c>
      <c r="X26" s="193">
        <f>ROUND($D26*$K$79,2)</f>
        <v>11256.84</v>
      </c>
      <c r="Y26" s="193">
        <f t="shared" si="26"/>
        <v>22059.66</v>
      </c>
      <c r="Z26" s="136"/>
      <c r="AA26" s="135">
        <f t="shared" si="16"/>
        <v>-21.600000000002183</v>
      </c>
      <c r="AB26" s="137">
        <f t="shared" si="17"/>
        <v>-9.7820504808159405E-4</v>
      </c>
      <c r="AC26" s="136"/>
      <c r="AD26" s="136"/>
      <c r="AE26" s="136"/>
      <c r="AF26" s="136"/>
      <c r="AG26" s="136"/>
      <c r="AH26" s="136"/>
      <c r="AI26" s="136"/>
    </row>
    <row r="27" spans="1:35" x14ac:dyDescent="0.3">
      <c r="A27" s="1">
        <f t="shared" si="0"/>
        <v>27</v>
      </c>
      <c r="B27" s="31" t="s">
        <v>52</v>
      </c>
      <c r="C27" s="106">
        <v>140</v>
      </c>
      <c r="D27" s="106">
        <f t="shared" si="22"/>
        <v>56000</v>
      </c>
      <c r="E27" s="193">
        <f t="shared" si="2"/>
        <v>4463.87</v>
      </c>
      <c r="F27" s="193">
        <f t="shared" si="18"/>
        <v>5836.88</v>
      </c>
      <c r="G27" s="193">
        <f t="shared" si="23"/>
        <v>10300.75</v>
      </c>
      <c r="H27" s="194"/>
      <c r="I27" s="193">
        <f t="shared" si="4"/>
        <v>5500.43</v>
      </c>
      <c r="J27" s="193">
        <f t="shared" si="19"/>
        <v>5836.88</v>
      </c>
      <c r="K27" s="193">
        <f t="shared" si="24"/>
        <v>11337.310000000001</v>
      </c>
      <c r="L27" s="136"/>
      <c r="M27" s="135">
        <f t="shared" si="20"/>
        <v>1036.5600000000013</v>
      </c>
      <c r="N27" s="137">
        <f t="shared" si="21"/>
        <v>0.10062956580831506</v>
      </c>
      <c r="O27" s="135"/>
      <c r="P27" s="193">
        <f t="shared" si="8"/>
        <v>5665.63</v>
      </c>
      <c r="Q27" s="193">
        <f t="shared" si="9"/>
        <v>5836.88</v>
      </c>
      <c r="R27" s="193">
        <f t="shared" si="25"/>
        <v>11502.51</v>
      </c>
      <c r="S27" s="136"/>
      <c r="T27" s="135">
        <f t="shared" si="11"/>
        <v>165.19999999999891</v>
      </c>
      <c r="U27" s="137">
        <f t="shared" si="12"/>
        <v>1.4571357755940244E-2</v>
      </c>
      <c r="V27" s="135"/>
      <c r="W27" s="193">
        <f t="shared" si="13"/>
        <v>5654.43</v>
      </c>
      <c r="X27" s="193">
        <f t="shared" si="14"/>
        <v>5836.88</v>
      </c>
      <c r="Y27" s="193">
        <f t="shared" si="26"/>
        <v>11491.310000000001</v>
      </c>
      <c r="Z27" s="136"/>
      <c r="AA27" s="135">
        <f t="shared" si="16"/>
        <v>-11.199999999998909</v>
      </c>
      <c r="AB27" s="137">
        <f t="shared" si="17"/>
        <v>-9.7370052275537326E-4</v>
      </c>
      <c r="AC27" s="136"/>
      <c r="AD27" s="136"/>
      <c r="AE27" s="136"/>
      <c r="AF27" s="136"/>
      <c r="AG27" s="136"/>
      <c r="AH27" s="136"/>
      <c r="AI27" s="136"/>
    </row>
    <row r="28" spans="1:35" x14ac:dyDescent="0.3">
      <c r="A28" s="1">
        <f t="shared" si="0"/>
        <v>28</v>
      </c>
      <c r="B28" s="31"/>
      <c r="C28" s="158"/>
      <c r="D28" s="158"/>
      <c r="E28" s="193"/>
      <c r="F28" s="193"/>
      <c r="G28" s="153"/>
      <c r="H28" s="159"/>
      <c r="I28" s="193"/>
      <c r="J28" s="193"/>
      <c r="K28" s="153"/>
      <c r="L28" s="159"/>
      <c r="M28" s="153"/>
      <c r="N28" s="160"/>
      <c r="O28" s="153"/>
      <c r="P28" s="193"/>
      <c r="Q28" s="193"/>
      <c r="R28" s="153"/>
      <c r="S28" s="159"/>
      <c r="T28" s="135"/>
      <c r="U28" s="137"/>
      <c r="V28" s="153"/>
      <c r="W28" s="193"/>
      <c r="X28" s="193"/>
      <c r="Y28" s="153"/>
      <c r="Z28" s="159"/>
      <c r="AA28" s="135"/>
      <c r="AB28" s="137"/>
    </row>
    <row r="29" spans="1:35" x14ac:dyDescent="0.3">
      <c r="A29" s="1">
        <f t="shared" si="0"/>
        <v>29</v>
      </c>
      <c r="B29" s="31"/>
      <c r="C29" s="164" t="s">
        <v>126</v>
      </c>
      <c r="D29" s="104">
        <v>550</v>
      </c>
      <c r="E29" s="193"/>
      <c r="F29" s="193"/>
      <c r="G29" s="136"/>
      <c r="H29" s="136"/>
      <c r="I29" s="193"/>
      <c r="J29" s="193"/>
      <c r="K29" s="136"/>
      <c r="L29" s="136"/>
      <c r="M29" s="136"/>
      <c r="N29" s="20"/>
      <c r="O29" s="136"/>
      <c r="P29" s="193"/>
      <c r="Q29" s="193"/>
      <c r="R29" s="136"/>
      <c r="S29" s="136"/>
      <c r="T29" s="135"/>
      <c r="U29" s="137"/>
      <c r="V29" s="136"/>
      <c r="W29" s="193"/>
      <c r="X29" s="193"/>
      <c r="Y29" s="136"/>
      <c r="Z29" s="136"/>
      <c r="AA29" s="135"/>
      <c r="AB29" s="137"/>
    </row>
    <row r="30" spans="1:35" x14ac:dyDescent="0.3">
      <c r="A30" s="1">
        <f t="shared" si="0"/>
        <v>30</v>
      </c>
      <c r="B30" s="31"/>
      <c r="C30" s="105">
        <v>8</v>
      </c>
      <c r="D30" s="106">
        <f>C30*$D$29</f>
        <v>4400</v>
      </c>
      <c r="E30" s="193">
        <f t="shared" si="2"/>
        <v>382.73</v>
      </c>
      <c r="F30" s="193">
        <f t="shared" si="18"/>
        <v>458.61</v>
      </c>
      <c r="G30" s="193">
        <f>SUM(E30:F30)</f>
        <v>841.34</v>
      </c>
      <c r="H30" s="194"/>
      <c r="I30" s="193">
        <f t="shared" si="4"/>
        <v>464.17</v>
      </c>
      <c r="J30" s="193">
        <f t="shared" si="19"/>
        <v>458.61</v>
      </c>
      <c r="K30" s="193">
        <f>SUM(I30:J30)</f>
        <v>922.78</v>
      </c>
      <c r="L30" s="136"/>
      <c r="M30" s="135">
        <f t="shared" ref="M30:M35" si="27">+K30-G30</f>
        <v>81.439999999999941</v>
      </c>
      <c r="N30" s="137">
        <f t="shared" ref="N30:N35" si="28">+M30/G30</f>
        <v>9.679796515083075E-2</v>
      </c>
      <c r="O30" s="135"/>
      <c r="P30" s="193">
        <f t="shared" si="8"/>
        <v>477.15</v>
      </c>
      <c r="Q30" s="193">
        <f t="shared" si="9"/>
        <v>458.61</v>
      </c>
      <c r="R30" s="193">
        <f>SUM(P30:Q30)</f>
        <v>935.76</v>
      </c>
      <c r="S30" s="136"/>
      <c r="T30" s="135">
        <f t="shared" si="11"/>
        <v>12.980000000000018</v>
      </c>
      <c r="U30" s="137">
        <f t="shared" si="12"/>
        <v>1.4066191291532129E-2</v>
      </c>
      <c r="V30" s="135"/>
      <c r="W30" s="193">
        <f t="shared" si="13"/>
        <v>476.27</v>
      </c>
      <c r="X30" s="193">
        <f t="shared" si="14"/>
        <v>458.61</v>
      </c>
      <c r="Y30" s="193">
        <f>SUM(W30:X30)</f>
        <v>934.88</v>
      </c>
      <c r="Z30" s="136"/>
      <c r="AA30" s="135">
        <f t="shared" si="16"/>
        <v>-0.87999999999999545</v>
      </c>
      <c r="AB30" s="137">
        <f t="shared" si="17"/>
        <v>-9.4041207147131255E-4</v>
      </c>
      <c r="AC30" s="17"/>
      <c r="AD30" s="136"/>
      <c r="AE30" s="136"/>
      <c r="AF30" s="136"/>
      <c r="AG30" s="136"/>
      <c r="AH30" s="136"/>
      <c r="AI30" s="136"/>
    </row>
    <row r="31" spans="1:35" x14ac:dyDescent="0.3">
      <c r="A31" s="1">
        <f t="shared" si="0"/>
        <v>31</v>
      </c>
      <c r="B31" s="31"/>
      <c r="C31" s="105">
        <v>55</v>
      </c>
      <c r="D31" s="106">
        <f t="shared" ref="D31:D35" si="29">C31*$D$29</f>
        <v>30250</v>
      </c>
      <c r="E31" s="193">
        <f t="shared" si="2"/>
        <v>1985.01</v>
      </c>
      <c r="F31" s="193">
        <f t="shared" si="18"/>
        <v>3152.96</v>
      </c>
      <c r="G31" s="193">
        <f t="shared" ref="G31:G35" si="30">SUM(E31:F31)</f>
        <v>5137.97</v>
      </c>
      <c r="H31" s="194"/>
      <c r="I31" s="193">
        <f t="shared" si="4"/>
        <v>2544.94</v>
      </c>
      <c r="J31" s="193">
        <f t="shared" si="19"/>
        <v>3152.96</v>
      </c>
      <c r="K31" s="193">
        <f t="shared" ref="K31:K35" si="31">SUM(I31:J31)</f>
        <v>5697.9</v>
      </c>
      <c r="L31" s="136"/>
      <c r="M31" s="135">
        <f t="shared" si="27"/>
        <v>559.92999999999938</v>
      </c>
      <c r="N31" s="137">
        <f t="shared" si="28"/>
        <v>0.10897883794572552</v>
      </c>
      <c r="O31" s="135"/>
      <c r="P31" s="193">
        <f t="shared" si="8"/>
        <v>2634.18</v>
      </c>
      <c r="Q31" s="193">
        <f t="shared" si="9"/>
        <v>3152.96</v>
      </c>
      <c r="R31" s="193">
        <f t="shared" ref="R31:R35" si="32">SUM(P31:Q31)</f>
        <v>5787.1399999999994</v>
      </c>
      <c r="S31" s="136"/>
      <c r="T31" s="135">
        <f t="shared" si="11"/>
        <v>89.239999999999782</v>
      </c>
      <c r="U31" s="137">
        <f t="shared" si="12"/>
        <v>1.5661910528440265E-2</v>
      </c>
      <c r="V31" s="135"/>
      <c r="W31" s="193">
        <f t="shared" si="13"/>
        <v>2628.13</v>
      </c>
      <c r="X31" s="193">
        <f t="shared" si="14"/>
        <v>3152.96</v>
      </c>
      <c r="Y31" s="193">
        <f t="shared" ref="Y31:Y35" si="33">SUM(W31:X31)</f>
        <v>5781.09</v>
      </c>
      <c r="Z31" s="136"/>
      <c r="AA31" s="135">
        <f t="shared" si="16"/>
        <v>-6.0499999999992724</v>
      </c>
      <c r="AB31" s="137">
        <f t="shared" si="17"/>
        <v>-1.0454213998623281E-3</v>
      </c>
      <c r="AC31" s="17"/>
      <c r="AD31" s="136"/>
      <c r="AE31" s="136"/>
      <c r="AF31" s="136"/>
      <c r="AG31" s="136"/>
      <c r="AH31" s="136"/>
      <c r="AI31" s="136"/>
    </row>
    <row r="32" spans="1:35" x14ac:dyDescent="0.3">
      <c r="A32" s="1">
        <f t="shared" si="0"/>
        <v>32</v>
      </c>
      <c r="B32" s="31"/>
      <c r="C32" s="105">
        <v>75</v>
      </c>
      <c r="D32" s="106">
        <f t="shared" si="29"/>
        <v>41250</v>
      </c>
      <c r="E32" s="193">
        <f>ROUND($G$75+$C32*$G$76+$D32*$E$71*$G$77+$D32*$E$72*$G$78,2)</f>
        <v>2666.84</v>
      </c>
      <c r="F32" s="193">
        <f t="shared" si="18"/>
        <v>4299.49</v>
      </c>
      <c r="G32" s="193">
        <f t="shared" si="30"/>
        <v>6966.33</v>
      </c>
      <c r="H32" s="194"/>
      <c r="I32" s="193">
        <f t="shared" si="4"/>
        <v>3430.38</v>
      </c>
      <c r="J32" s="193">
        <f t="shared" si="19"/>
        <v>4299.49</v>
      </c>
      <c r="K32" s="193">
        <f t="shared" si="31"/>
        <v>7729.87</v>
      </c>
      <c r="L32" s="136"/>
      <c r="M32" s="135">
        <f t="shared" si="27"/>
        <v>763.54</v>
      </c>
      <c r="N32" s="137">
        <f t="shared" si="28"/>
        <v>0.10960433973125017</v>
      </c>
      <c r="O32" s="135"/>
      <c r="P32" s="193">
        <f>ROUND($J$75+$C32*$J$76+$D32*$E$71*$J$77+$D32*$E$72*$J$78,2)</f>
        <v>3552.06</v>
      </c>
      <c r="Q32" s="193">
        <f t="shared" si="9"/>
        <v>4299.49</v>
      </c>
      <c r="R32" s="193">
        <f t="shared" si="32"/>
        <v>7851.5499999999993</v>
      </c>
      <c r="S32" s="136"/>
      <c r="T32" s="135">
        <f t="shared" si="11"/>
        <v>121.67999999999938</v>
      </c>
      <c r="U32" s="137">
        <f t="shared" si="12"/>
        <v>1.5741532522539108E-2</v>
      </c>
      <c r="V32" s="135"/>
      <c r="W32" s="193">
        <f>ROUND($K$75+$C32*$K$76+$D32*$E$71*$K$77+$D32*$E$72*$K$78,2)</f>
        <v>3543.81</v>
      </c>
      <c r="X32" s="193">
        <f>ROUND($D32*$K$79,2)</f>
        <v>4299.49</v>
      </c>
      <c r="Y32" s="193">
        <f t="shared" si="33"/>
        <v>7843.2999999999993</v>
      </c>
      <c r="Z32" s="136"/>
      <c r="AA32" s="135">
        <f t="shared" si="16"/>
        <v>-8.25</v>
      </c>
      <c r="AB32" s="137">
        <f t="shared" si="17"/>
        <v>-1.0507479414892601E-3</v>
      </c>
      <c r="AC32" s="17"/>
      <c r="AD32" s="136"/>
      <c r="AE32" s="136"/>
      <c r="AF32" s="136"/>
      <c r="AG32" s="136"/>
      <c r="AH32" s="136"/>
      <c r="AI32" s="136"/>
    </row>
    <row r="33" spans="1:35" x14ac:dyDescent="0.3">
      <c r="A33" s="1">
        <f t="shared" si="0"/>
        <v>33</v>
      </c>
      <c r="B33" s="31"/>
      <c r="C33" s="105">
        <v>130</v>
      </c>
      <c r="D33" s="106">
        <f t="shared" si="29"/>
        <v>71500</v>
      </c>
      <c r="E33" s="193">
        <f t="shared" si="2"/>
        <v>4541.8500000000004</v>
      </c>
      <c r="F33" s="193">
        <f>ROUND($D33*$G$79,2)</f>
        <v>7452.45</v>
      </c>
      <c r="G33" s="193">
        <f t="shared" si="30"/>
        <v>11994.3</v>
      </c>
      <c r="H33" s="194"/>
      <c r="I33" s="193">
        <f t="shared" si="4"/>
        <v>5865.32</v>
      </c>
      <c r="J33" s="193">
        <f t="shared" si="19"/>
        <v>7452.45</v>
      </c>
      <c r="K33" s="193">
        <f t="shared" si="31"/>
        <v>13317.77</v>
      </c>
      <c r="L33" s="136"/>
      <c r="M33" s="135">
        <f t="shared" si="27"/>
        <v>1323.4700000000012</v>
      </c>
      <c r="N33" s="137">
        <f t="shared" si="28"/>
        <v>0.11034157891665218</v>
      </c>
      <c r="O33" s="135"/>
      <c r="P33" s="193">
        <f t="shared" si="8"/>
        <v>6076.24</v>
      </c>
      <c r="Q33" s="193">
        <f>ROUND($D33*$J$79,2)</f>
        <v>7452.45</v>
      </c>
      <c r="R33" s="193">
        <f t="shared" si="32"/>
        <v>13528.689999999999</v>
      </c>
      <c r="S33" s="136"/>
      <c r="T33" s="135">
        <f t="shared" si="11"/>
        <v>210.91999999999825</v>
      </c>
      <c r="U33" s="137">
        <f t="shared" si="12"/>
        <v>1.5837486305890418E-2</v>
      </c>
      <c r="V33" s="135"/>
      <c r="W33" s="193">
        <f t="shared" si="13"/>
        <v>6061.94</v>
      </c>
      <c r="X33" s="193">
        <f t="shared" si="14"/>
        <v>7452.45</v>
      </c>
      <c r="Y33" s="193">
        <f t="shared" si="33"/>
        <v>13514.39</v>
      </c>
      <c r="Z33" s="136"/>
      <c r="AA33" s="135">
        <f t="shared" si="16"/>
        <v>-14.299999999999272</v>
      </c>
      <c r="AB33" s="137">
        <f t="shared" si="17"/>
        <v>-1.0570129110800287E-3</v>
      </c>
      <c r="AC33" s="17"/>
      <c r="AD33" s="136"/>
      <c r="AE33" s="136"/>
      <c r="AF33" s="136"/>
      <c r="AG33" s="136"/>
      <c r="AH33" s="136"/>
      <c r="AI33" s="136"/>
    </row>
    <row r="34" spans="1:35" x14ac:dyDescent="0.3">
      <c r="A34" s="1">
        <f t="shared" si="0"/>
        <v>34</v>
      </c>
      <c r="B34" s="31"/>
      <c r="C34" s="105">
        <v>240</v>
      </c>
      <c r="D34" s="106">
        <f t="shared" si="29"/>
        <v>132000</v>
      </c>
      <c r="E34" s="193">
        <f t="shared" si="2"/>
        <v>8291.8799999999992</v>
      </c>
      <c r="F34" s="193">
        <f t="shared" si="18"/>
        <v>13758.36</v>
      </c>
      <c r="G34" s="193">
        <f t="shared" si="30"/>
        <v>22050.239999999998</v>
      </c>
      <c r="H34" s="194"/>
      <c r="I34" s="193">
        <f t="shared" si="4"/>
        <v>10735.2</v>
      </c>
      <c r="J34" s="193">
        <f t="shared" si="19"/>
        <v>13758.36</v>
      </c>
      <c r="K34" s="193">
        <f t="shared" si="31"/>
        <v>24493.56</v>
      </c>
      <c r="L34" s="136"/>
      <c r="M34" s="135">
        <f t="shared" si="27"/>
        <v>2443.3200000000033</v>
      </c>
      <c r="N34" s="137">
        <f t="shared" si="28"/>
        <v>0.11080695720318706</v>
      </c>
      <c r="O34" s="135"/>
      <c r="P34" s="193">
        <f t="shared" si="8"/>
        <v>11124.6</v>
      </c>
      <c r="Q34" s="193">
        <f t="shared" si="9"/>
        <v>13758.36</v>
      </c>
      <c r="R34" s="193">
        <f t="shared" si="32"/>
        <v>24882.959999999999</v>
      </c>
      <c r="S34" s="136"/>
      <c r="T34" s="135">
        <f t="shared" si="11"/>
        <v>389.39999999999782</v>
      </c>
      <c r="U34" s="137">
        <f t="shared" si="12"/>
        <v>1.5898056468720667E-2</v>
      </c>
      <c r="V34" s="135"/>
      <c r="W34" s="193">
        <f t="shared" si="13"/>
        <v>11098.2</v>
      </c>
      <c r="X34" s="193">
        <f t="shared" si="14"/>
        <v>13758.36</v>
      </c>
      <c r="Y34" s="193">
        <f t="shared" si="33"/>
        <v>24856.560000000001</v>
      </c>
      <c r="Z34" s="136"/>
      <c r="AA34" s="135">
        <f t="shared" si="16"/>
        <v>-26.399999999997817</v>
      </c>
      <c r="AB34" s="137">
        <f t="shared" si="17"/>
        <v>-1.0609670232157998E-3</v>
      </c>
      <c r="AC34" s="17"/>
      <c r="AD34" s="136"/>
      <c r="AE34" s="136"/>
      <c r="AF34" s="136"/>
      <c r="AG34" s="136"/>
      <c r="AH34" s="136"/>
      <c r="AI34" s="136"/>
    </row>
    <row r="35" spans="1:35" x14ac:dyDescent="0.3">
      <c r="A35" s="1">
        <f t="shared" si="0"/>
        <v>35</v>
      </c>
      <c r="B35" s="31" t="s">
        <v>52</v>
      </c>
      <c r="C35" s="106">
        <v>100</v>
      </c>
      <c r="D35" s="106">
        <f t="shared" si="29"/>
        <v>55000</v>
      </c>
      <c r="E35" s="193">
        <f t="shared" si="2"/>
        <v>3519.12</v>
      </c>
      <c r="F35" s="193">
        <f t="shared" si="18"/>
        <v>5732.65</v>
      </c>
      <c r="G35" s="193">
        <f t="shared" si="30"/>
        <v>9251.77</v>
      </c>
      <c r="H35" s="194"/>
      <c r="I35" s="193">
        <f t="shared" si="4"/>
        <v>4537.17</v>
      </c>
      <c r="J35" s="193">
        <f t="shared" si="19"/>
        <v>5732.65</v>
      </c>
      <c r="K35" s="193">
        <f t="shared" si="31"/>
        <v>10269.82</v>
      </c>
      <c r="L35" s="136"/>
      <c r="M35" s="135">
        <f t="shared" si="27"/>
        <v>1018.0499999999993</v>
      </c>
      <c r="N35" s="137">
        <f t="shared" si="28"/>
        <v>0.11003840346225632</v>
      </c>
      <c r="O35" s="135"/>
      <c r="P35" s="193">
        <f t="shared" si="8"/>
        <v>4699.42</v>
      </c>
      <c r="Q35" s="193">
        <f t="shared" si="9"/>
        <v>5732.65</v>
      </c>
      <c r="R35" s="193">
        <f t="shared" si="32"/>
        <v>10432.07</v>
      </c>
      <c r="S35" s="136"/>
      <c r="T35" s="135">
        <f t="shared" si="11"/>
        <v>162.25</v>
      </c>
      <c r="U35" s="137">
        <f t="shared" si="12"/>
        <v>1.5798718964889356E-2</v>
      </c>
      <c r="V35" s="135"/>
      <c r="W35" s="193">
        <f t="shared" si="13"/>
        <v>4688.42</v>
      </c>
      <c r="X35" s="193">
        <f t="shared" si="14"/>
        <v>5732.65</v>
      </c>
      <c r="Y35" s="193">
        <f t="shared" si="33"/>
        <v>10421.07</v>
      </c>
      <c r="Z35" s="136"/>
      <c r="AA35" s="135">
        <f t="shared" si="16"/>
        <v>-11</v>
      </c>
      <c r="AB35" s="137">
        <f t="shared" si="17"/>
        <v>-1.054440777333741E-3</v>
      </c>
      <c r="AC35" s="17"/>
      <c r="AD35" s="136"/>
      <c r="AE35" s="136"/>
      <c r="AF35" s="136"/>
      <c r="AG35" s="136"/>
      <c r="AH35" s="136"/>
      <c r="AI35" s="136"/>
    </row>
    <row r="36" spans="1:35" x14ac:dyDescent="0.3">
      <c r="A36" s="1">
        <f t="shared" si="0"/>
        <v>36</v>
      </c>
      <c r="B36" s="31"/>
      <c r="C36" s="152"/>
      <c r="D36" s="152"/>
      <c r="E36" s="153"/>
      <c r="F36" s="153"/>
      <c r="G36" s="153"/>
      <c r="H36" s="159"/>
      <c r="I36" s="153"/>
      <c r="J36" s="153"/>
      <c r="K36" s="153"/>
      <c r="L36" s="159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60"/>
    </row>
    <row r="37" spans="1:35" x14ac:dyDescent="0.3">
      <c r="A37" s="1">
        <f t="shared" si="0"/>
        <v>37</v>
      </c>
      <c r="B37" s="31"/>
      <c r="D37" s="105"/>
      <c r="E37" s="135"/>
      <c r="F37" s="135"/>
      <c r="G37" s="135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</row>
    <row r="38" spans="1:35" x14ac:dyDescent="0.3">
      <c r="A38" s="1">
        <f t="shared" si="0"/>
        <v>38</v>
      </c>
      <c r="B38" s="31"/>
      <c r="C38" s="44" t="s">
        <v>53</v>
      </c>
      <c r="D38" s="44"/>
      <c r="E38" s="136"/>
      <c r="F38" s="136"/>
      <c r="G38" s="45">
        <f>'EMA R1'!H28</f>
        <v>2024</v>
      </c>
      <c r="I38" s="45">
        <f>'EMA R1'!I28</f>
        <v>2025</v>
      </c>
      <c r="J38" s="45">
        <f>'EMA R1'!J28</f>
        <v>2026</v>
      </c>
      <c r="K38" s="45">
        <f>'EMA R1'!L28</f>
        <v>2027</v>
      </c>
      <c r="M38" s="45" t="str">
        <f>'EMA R1'!M28</f>
        <v>2025 v 2024</v>
      </c>
      <c r="N38" s="45" t="str">
        <f>'EMA R1'!O28</f>
        <v>2026 v 2025</v>
      </c>
      <c r="P38" s="45" t="str">
        <f>'EMA R1'!P28</f>
        <v>2027 v 2026</v>
      </c>
      <c r="Q38" s="136"/>
      <c r="R38" s="136"/>
      <c r="S38" s="136"/>
      <c r="T38" s="136"/>
      <c r="U38" s="136"/>
      <c r="V38" s="136"/>
      <c r="W38" s="136"/>
    </row>
    <row r="39" spans="1:35" ht="15.5" x14ac:dyDescent="0.45">
      <c r="A39" s="1">
        <f t="shared" si="0"/>
        <v>39</v>
      </c>
      <c r="B39" s="31"/>
      <c r="C39" s="23" t="s">
        <v>53</v>
      </c>
      <c r="D39" s="23"/>
      <c r="E39" s="136"/>
      <c r="F39" s="136"/>
      <c r="G39" s="47" t="str">
        <f>+'BOS G2 NEMA'!G55</f>
        <v>Rates</v>
      </c>
      <c r="H39" s="116"/>
      <c r="I39" s="47" t="s">
        <v>57</v>
      </c>
      <c r="J39" s="47" t="s">
        <v>57</v>
      </c>
      <c r="K39" s="47" t="s">
        <v>57</v>
      </c>
      <c r="L39" s="37"/>
      <c r="M39" s="48" t="s">
        <v>51</v>
      </c>
      <c r="N39" s="48" t="s">
        <v>51</v>
      </c>
      <c r="O39" s="22"/>
      <c r="P39" s="48" t="s">
        <v>51</v>
      </c>
      <c r="Q39" s="136"/>
      <c r="R39" s="136"/>
      <c r="S39" s="136"/>
      <c r="T39" s="136"/>
      <c r="U39" s="136"/>
      <c r="V39" s="136"/>
      <c r="W39" s="136"/>
    </row>
    <row r="40" spans="1:35" x14ac:dyDescent="0.3">
      <c r="A40" s="1">
        <f t="shared" si="0"/>
        <v>40</v>
      </c>
      <c r="B40" s="31"/>
      <c r="C40" s="44" t="s">
        <v>58</v>
      </c>
      <c r="D40" s="44"/>
      <c r="E40" s="86"/>
      <c r="F40" s="136"/>
      <c r="G40" s="88">
        <v>110</v>
      </c>
      <c r="H40" s="88"/>
      <c r="I40" s="88">
        <f>G40</f>
        <v>110</v>
      </c>
      <c r="J40" s="88">
        <f>G40</f>
        <v>110</v>
      </c>
      <c r="K40" s="88">
        <f>G40</f>
        <v>110</v>
      </c>
      <c r="L40" s="88"/>
      <c r="M40" s="50">
        <f>+I40-G40</f>
        <v>0</v>
      </c>
      <c r="N40" s="50">
        <f>+J40-I40</f>
        <v>0</v>
      </c>
      <c r="O40" s="50"/>
      <c r="P40" s="50">
        <f>+K40-J40</f>
        <v>0</v>
      </c>
      <c r="Q40" s="51" t="s">
        <v>59</v>
      </c>
      <c r="R40" s="136"/>
      <c r="S40" s="136"/>
      <c r="T40" s="136"/>
      <c r="U40" s="136"/>
      <c r="V40" s="136"/>
    </row>
    <row r="41" spans="1:35" x14ac:dyDescent="0.3">
      <c r="A41" s="1">
        <f t="shared" si="0"/>
        <v>41</v>
      </c>
      <c r="B41" s="31"/>
      <c r="C41" s="44" t="s">
        <v>146</v>
      </c>
      <c r="D41" s="44"/>
      <c r="E41" s="86"/>
      <c r="F41" s="136"/>
      <c r="G41" s="88">
        <v>10.31</v>
      </c>
      <c r="H41" s="88"/>
      <c r="I41" s="88">
        <f t="shared" ref="I41:I69" si="34">G41</f>
        <v>10.31</v>
      </c>
      <c r="J41" s="88">
        <f t="shared" ref="J41:J69" si="35">G41</f>
        <v>10.31</v>
      </c>
      <c r="K41" s="88">
        <f t="shared" ref="K41:K69" si="36">G41</f>
        <v>10.31</v>
      </c>
      <c r="L41" s="88"/>
      <c r="M41" s="50">
        <f t="shared" ref="M41:M69" si="37">+I41-G41</f>
        <v>0</v>
      </c>
      <c r="N41" s="50">
        <f t="shared" ref="N41:N69" si="38">+J41-I41</f>
        <v>0</v>
      </c>
      <c r="O41" s="50"/>
      <c r="P41" s="50">
        <f t="shared" ref="P41:P69" si="39">+K41-J41</f>
        <v>0</v>
      </c>
      <c r="Q41" s="51" t="s">
        <v>59</v>
      </c>
      <c r="R41" s="136"/>
      <c r="S41" s="136"/>
      <c r="T41" s="136"/>
      <c r="U41" s="136"/>
      <c r="V41" s="136"/>
    </row>
    <row r="42" spans="1:35" x14ac:dyDescent="0.3">
      <c r="A42" s="1">
        <f t="shared" si="0"/>
        <v>42</v>
      </c>
      <c r="B42" s="31"/>
      <c r="C42" s="44" t="s">
        <v>155</v>
      </c>
      <c r="D42" s="44"/>
      <c r="E42" s="86"/>
      <c r="F42" s="136"/>
      <c r="G42" s="91">
        <v>4.0099999999999997E-3</v>
      </c>
      <c r="H42" s="92"/>
      <c r="I42" s="91">
        <f t="shared" si="34"/>
        <v>4.0099999999999997E-3</v>
      </c>
      <c r="J42" s="91">
        <f t="shared" si="35"/>
        <v>4.0099999999999997E-3</v>
      </c>
      <c r="K42" s="91">
        <f t="shared" si="36"/>
        <v>4.0099999999999997E-3</v>
      </c>
      <c r="L42" s="88"/>
      <c r="M42" s="54">
        <f t="shared" si="37"/>
        <v>0</v>
      </c>
      <c r="N42" s="54">
        <f t="shared" si="38"/>
        <v>0</v>
      </c>
      <c r="O42" s="54"/>
      <c r="P42" s="54">
        <f t="shared" si="39"/>
        <v>0</v>
      </c>
      <c r="Q42" s="51" t="s">
        <v>59</v>
      </c>
      <c r="R42" s="136"/>
      <c r="S42" s="136"/>
      <c r="T42" s="136"/>
      <c r="U42" s="136"/>
      <c r="V42" s="136"/>
    </row>
    <row r="43" spans="1:35" x14ac:dyDescent="0.3">
      <c r="A43" s="1">
        <f t="shared" si="0"/>
        <v>43</v>
      </c>
      <c r="B43" s="31"/>
      <c r="C43" s="44" t="s">
        <v>203</v>
      </c>
      <c r="D43" s="44"/>
      <c r="E43" s="86"/>
      <c r="F43" s="136"/>
      <c r="G43" s="91">
        <v>1.25E-3</v>
      </c>
      <c r="H43" s="92"/>
      <c r="I43" s="91">
        <f t="shared" si="34"/>
        <v>1.25E-3</v>
      </c>
      <c r="J43" s="91">
        <f t="shared" si="35"/>
        <v>1.25E-3</v>
      </c>
      <c r="K43" s="91">
        <f t="shared" si="36"/>
        <v>1.25E-3</v>
      </c>
      <c r="L43" s="88"/>
      <c r="M43" s="54">
        <f t="shared" si="37"/>
        <v>0</v>
      </c>
      <c r="N43" s="54">
        <f t="shared" si="38"/>
        <v>0</v>
      </c>
      <c r="O43" s="54"/>
      <c r="P43" s="54">
        <f t="shared" si="39"/>
        <v>0</v>
      </c>
      <c r="Q43" s="51" t="s">
        <v>59</v>
      </c>
      <c r="R43" s="136"/>
      <c r="S43" s="136"/>
      <c r="T43" s="136"/>
      <c r="U43" s="136"/>
      <c r="V43" s="136"/>
    </row>
    <row r="44" spans="1:35" x14ac:dyDescent="0.3">
      <c r="A44" s="1">
        <f t="shared" si="0"/>
        <v>44</v>
      </c>
      <c r="B44" s="31"/>
      <c r="C44" s="44" t="str">
        <f>+'BOS G2 NEMA'!C62</f>
        <v>Exogenous Cost Adjustment</v>
      </c>
      <c r="D44" s="44"/>
      <c r="E44" s="86"/>
      <c r="F44" s="136"/>
      <c r="G44" s="91">
        <v>5.5999999999999995E-4</v>
      </c>
      <c r="H44" s="176"/>
      <c r="I44" s="91">
        <f t="shared" si="34"/>
        <v>5.5999999999999995E-4</v>
      </c>
      <c r="J44" s="91">
        <f t="shared" si="35"/>
        <v>5.5999999999999995E-4</v>
      </c>
      <c r="K44" s="91">
        <f t="shared" si="36"/>
        <v>5.5999999999999995E-4</v>
      </c>
      <c r="L44" s="88"/>
      <c r="M44" s="54">
        <f t="shared" si="37"/>
        <v>0</v>
      </c>
      <c r="N44" s="54">
        <f t="shared" si="38"/>
        <v>0</v>
      </c>
      <c r="O44" s="54"/>
      <c r="P44" s="54">
        <f t="shared" si="39"/>
        <v>0</v>
      </c>
      <c r="Q44" s="51" t="str">
        <f>+'BOS G2 NEMA'!Q62</f>
        <v>ECA</v>
      </c>
      <c r="R44" s="136"/>
      <c r="S44" s="136"/>
      <c r="T44" s="136"/>
      <c r="U44" s="136"/>
      <c r="V44" s="136"/>
    </row>
    <row r="45" spans="1:35" x14ac:dyDescent="0.3">
      <c r="A45" s="1">
        <f t="shared" si="0"/>
        <v>45</v>
      </c>
      <c r="B45" s="31"/>
      <c r="C45" s="44" t="str">
        <f>+'BOS G2 NEMA'!C63</f>
        <v>Revenue Decoupling</v>
      </c>
      <c r="D45" s="44"/>
      <c r="E45" s="86"/>
      <c r="F45" s="136"/>
      <c r="G45" s="91">
        <v>3.0000000000000001E-5</v>
      </c>
      <c r="H45" s="92"/>
      <c r="I45" s="91">
        <f t="shared" si="34"/>
        <v>3.0000000000000001E-5</v>
      </c>
      <c r="J45" s="91">
        <f t="shared" si="35"/>
        <v>3.0000000000000001E-5</v>
      </c>
      <c r="K45" s="91">
        <f t="shared" si="36"/>
        <v>3.0000000000000001E-5</v>
      </c>
      <c r="L45" s="88"/>
      <c r="M45" s="54">
        <f t="shared" si="37"/>
        <v>0</v>
      </c>
      <c r="N45" s="54">
        <f t="shared" si="38"/>
        <v>0</v>
      </c>
      <c r="O45" s="54"/>
      <c r="P45" s="54">
        <f t="shared" si="39"/>
        <v>0</v>
      </c>
      <c r="Q45" s="51" t="str">
        <f>+'BOS G2 NEMA'!Q63</f>
        <v>RDAF</v>
      </c>
      <c r="R45" s="136"/>
      <c r="S45" s="136"/>
      <c r="T45" s="136"/>
      <c r="U45" s="136"/>
      <c r="V45" s="136"/>
    </row>
    <row r="46" spans="1:35" x14ac:dyDescent="0.3">
      <c r="A46" s="1">
        <f t="shared" si="0"/>
        <v>46</v>
      </c>
      <c r="B46" s="31"/>
      <c r="C46" s="44" t="str">
        <f>+'BOS G2 NEMA'!C64</f>
        <v>Distributed Solar Charge</v>
      </c>
      <c r="D46" s="44"/>
      <c r="E46" s="86"/>
      <c r="F46" s="136"/>
      <c r="G46" s="91">
        <v>4.4099999999999999E-3</v>
      </c>
      <c r="H46" s="92"/>
      <c r="I46" s="91">
        <f t="shared" si="34"/>
        <v>4.4099999999999999E-3</v>
      </c>
      <c r="J46" s="91">
        <f t="shared" si="35"/>
        <v>4.4099999999999999E-3</v>
      </c>
      <c r="K46" s="91">
        <f t="shared" si="36"/>
        <v>4.4099999999999999E-3</v>
      </c>
      <c r="L46" s="88"/>
      <c r="M46" s="54">
        <f t="shared" si="37"/>
        <v>0</v>
      </c>
      <c r="N46" s="54">
        <f t="shared" si="38"/>
        <v>0</v>
      </c>
      <c r="O46" s="54"/>
      <c r="P46" s="54">
        <f t="shared" si="39"/>
        <v>0</v>
      </c>
      <c r="Q46" s="51" t="str">
        <f>+'BOS G2 NEMA'!Q64</f>
        <v>SMART</v>
      </c>
      <c r="R46" s="136"/>
      <c r="S46" s="136"/>
      <c r="T46" s="136"/>
      <c r="U46" s="136"/>
      <c r="V46" s="136"/>
    </row>
    <row r="47" spans="1:35" x14ac:dyDescent="0.3">
      <c r="A47" s="1">
        <f t="shared" si="0"/>
        <v>47</v>
      </c>
      <c r="B47" s="31"/>
      <c r="C47" s="44" t="str">
        <f>+'BOS G2 NEMA'!C65</f>
        <v>Residential Assistance Adjustment Factor</v>
      </c>
      <c r="D47" s="44"/>
      <c r="E47" s="86"/>
      <c r="F47" s="136"/>
      <c r="G47" s="53">
        <v>4.4999999999999997E-3</v>
      </c>
      <c r="H47" s="92"/>
      <c r="I47" s="53">
        <f t="shared" si="34"/>
        <v>4.4999999999999997E-3</v>
      </c>
      <c r="J47" s="53">
        <f t="shared" si="35"/>
        <v>4.4999999999999997E-3</v>
      </c>
      <c r="K47" s="53">
        <f t="shared" si="36"/>
        <v>4.4999999999999997E-3</v>
      </c>
      <c r="L47" s="88"/>
      <c r="M47" s="54">
        <f t="shared" si="37"/>
        <v>0</v>
      </c>
      <c r="N47" s="54">
        <f t="shared" si="38"/>
        <v>0</v>
      </c>
      <c r="O47" s="54"/>
      <c r="P47" s="54">
        <f t="shared" si="39"/>
        <v>0</v>
      </c>
      <c r="Q47" s="51" t="str">
        <f>+'BOS G2 NEMA'!Q65</f>
        <v>RAAF</v>
      </c>
      <c r="R47" s="136"/>
      <c r="S47" s="136"/>
      <c r="T47" s="136"/>
      <c r="U47" s="136"/>
      <c r="V47" s="136"/>
    </row>
    <row r="48" spans="1:35" x14ac:dyDescent="0.3">
      <c r="A48" s="1">
        <f t="shared" si="0"/>
        <v>48</v>
      </c>
      <c r="B48" s="31"/>
      <c r="C48" s="44" t="str">
        <f>+'BOS G2 NEMA'!C66</f>
        <v>Pension Adjustment Factor</v>
      </c>
      <c r="D48" s="44"/>
      <c r="E48" s="86"/>
      <c r="F48" s="136"/>
      <c r="G48" s="53">
        <v>3.6999999999999999E-4</v>
      </c>
      <c r="H48" s="92"/>
      <c r="I48" s="53">
        <f t="shared" si="34"/>
        <v>3.6999999999999999E-4</v>
      </c>
      <c r="J48" s="53">
        <f t="shared" si="35"/>
        <v>3.6999999999999999E-4</v>
      </c>
      <c r="K48" s="53">
        <f t="shared" si="36"/>
        <v>3.6999999999999999E-4</v>
      </c>
      <c r="L48" s="88"/>
      <c r="M48" s="54">
        <f t="shared" si="37"/>
        <v>0</v>
      </c>
      <c r="N48" s="54">
        <f t="shared" si="38"/>
        <v>0</v>
      </c>
      <c r="O48" s="54"/>
      <c r="P48" s="54">
        <f t="shared" si="39"/>
        <v>0</v>
      </c>
      <c r="Q48" s="51" t="str">
        <f>+'BOS G2 NEMA'!Q66</f>
        <v>PAF</v>
      </c>
      <c r="R48" s="136"/>
      <c r="S48" s="136"/>
      <c r="T48" s="136"/>
      <c r="U48" s="136"/>
      <c r="V48" s="136"/>
    </row>
    <row r="49" spans="1:22" x14ac:dyDescent="0.3">
      <c r="A49" s="1">
        <f t="shared" si="0"/>
        <v>49</v>
      </c>
      <c r="B49" s="31"/>
      <c r="C49" s="44" t="str">
        <f>+'BOS G2 NEMA'!C67</f>
        <v>Net Metering Recovery Surcharge</v>
      </c>
      <c r="D49" s="44"/>
      <c r="E49" s="86"/>
      <c r="F49" s="136"/>
      <c r="G49" s="91">
        <v>8.94E-3</v>
      </c>
      <c r="H49" s="92"/>
      <c r="I49" s="91">
        <f t="shared" si="34"/>
        <v>8.94E-3</v>
      </c>
      <c r="J49" s="91">
        <f t="shared" si="35"/>
        <v>8.94E-3</v>
      </c>
      <c r="K49" s="91">
        <f t="shared" si="36"/>
        <v>8.94E-3</v>
      </c>
      <c r="L49" s="88"/>
      <c r="M49" s="54">
        <f t="shared" si="37"/>
        <v>0</v>
      </c>
      <c r="N49" s="54">
        <f t="shared" si="38"/>
        <v>0</v>
      </c>
      <c r="O49" s="54"/>
      <c r="P49" s="54">
        <f t="shared" si="39"/>
        <v>0</v>
      </c>
      <c r="Q49" s="51" t="str">
        <f>+'BOS G2 NEMA'!Q67</f>
        <v>NMRS</v>
      </c>
      <c r="R49" s="136"/>
      <c r="S49" s="136"/>
      <c r="T49" s="136"/>
      <c r="U49" s="136"/>
      <c r="V49" s="136"/>
    </row>
    <row r="50" spans="1:22" x14ac:dyDescent="0.3">
      <c r="A50" s="1">
        <f t="shared" si="0"/>
        <v>50</v>
      </c>
      <c r="B50" s="31"/>
      <c r="C50" s="44" t="str">
        <f>+'BOS G2 NEMA'!C68</f>
        <v>Long Term Renewable Contract Adjustment</v>
      </c>
      <c r="D50" s="44"/>
      <c r="E50" s="86"/>
      <c r="F50" s="136"/>
      <c r="G50" s="53">
        <v>-1.9300000000000001E-3</v>
      </c>
      <c r="H50" s="92"/>
      <c r="I50" s="53">
        <f t="shared" si="34"/>
        <v>-1.9300000000000001E-3</v>
      </c>
      <c r="J50" s="53">
        <f t="shared" si="35"/>
        <v>-1.9300000000000001E-3</v>
      </c>
      <c r="K50" s="53">
        <f t="shared" si="36"/>
        <v>-1.9300000000000001E-3</v>
      </c>
      <c r="L50" s="88"/>
      <c r="M50" s="54">
        <f t="shared" si="37"/>
        <v>0</v>
      </c>
      <c r="N50" s="54">
        <f t="shared" si="38"/>
        <v>0</v>
      </c>
      <c r="O50" s="54"/>
      <c r="P50" s="54">
        <f t="shared" si="39"/>
        <v>0</v>
      </c>
      <c r="Q50" s="51" t="str">
        <f>+'BOS G2 NEMA'!Q68</f>
        <v>LTRCA</v>
      </c>
      <c r="R50" s="136"/>
      <c r="S50" s="136"/>
      <c r="T50" s="136"/>
      <c r="U50" s="136"/>
      <c r="V50" s="136"/>
    </row>
    <row r="51" spans="1:22" x14ac:dyDescent="0.3">
      <c r="A51" s="1">
        <f t="shared" si="0"/>
        <v>51</v>
      </c>
      <c r="B51" s="31"/>
      <c r="C51" s="44" t="str">
        <f>+'BOS G2 NEMA'!C69</f>
        <v>AG Consulting Expense</v>
      </c>
      <c r="D51" s="44"/>
      <c r="E51" s="86"/>
      <c r="F51" s="136"/>
      <c r="G51" s="53">
        <v>3.0000000000000001E-5</v>
      </c>
      <c r="H51" s="92"/>
      <c r="I51" s="53">
        <f t="shared" si="34"/>
        <v>3.0000000000000001E-5</v>
      </c>
      <c r="J51" s="53">
        <f t="shared" si="35"/>
        <v>3.0000000000000001E-5</v>
      </c>
      <c r="K51" s="53">
        <f t="shared" si="36"/>
        <v>3.0000000000000001E-5</v>
      </c>
      <c r="L51" s="88"/>
      <c r="M51" s="54">
        <f t="shared" si="37"/>
        <v>0</v>
      </c>
      <c r="N51" s="54">
        <f t="shared" si="38"/>
        <v>0</v>
      </c>
      <c r="O51" s="54"/>
      <c r="P51" s="54">
        <f t="shared" si="39"/>
        <v>0</v>
      </c>
      <c r="Q51" s="51" t="str">
        <f>+'BOS G2 NEMA'!Q69</f>
        <v>AGCE</v>
      </c>
      <c r="R51" s="136"/>
      <c r="S51" s="136"/>
      <c r="T51" s="136"/>
      <c r="U51" s="136"/>
      <c r="V51" s="136"/>
    </row>
    <row r="52" spans="1:22" x14ac:dyDescent="0.3">
      <c r="A52" s="1">
        <f t="shared" si="0"/>
        <v>52</v>
      </c>
      <c r="B52" s="31"/>
      <c r="C52" s="44" t="str">
        <f>+'BOS G2 NEMA'!C70</f>
        <v>Storm Cost Recovery Adjustment Factor</v>
      </c>
      <c r="D52" s="44"/>
      <c r="E52" s="86"/>
      <c r="F52" s="136"/>
      <c r="G52" s="53">
        <v>3.65E-3</v>
      </c>
      <c r="H52" s="92"/>
      <c r="I52" s="53">
        <f t="shared" si="34"/>
        <v>3.65E-3</v>
      </c>
      <c r="J52" s="53">
        <f t="shared" si="35"/>
        <v>3.65E-3</v>
      </c>
      <c r="K52" s="53">
        <f t="shared" si="36"/>
        <v>3.65E-3</v>
      </c>
      <c r="L52" s="88"/>
      <c r="M52" s="54">
        <f t="shared" si="37"/>
        <v>0</v>
      </c>
      <c r="N52" s="54">
        <f t="shared" si="38"/>
        <v>0</v>
      </c>
      <c r="O52" s="54"/>
      <c r="P52" s="54">
        <f t="shared" si="39"/>
        <v>0</v>
      </c>
      <c r="Q52" s="51" t="str">
        <f>+'BOS G2 NEMA'!Q70</f>
        <v>SCRA</v>
      </c>
      <c r="R52" s="136"/>
      <c r="S52" s="136"/>
      <c r="T52" s="136"/>
      <c r="U52" s="136"/>
      <c r="V52" s="136"/>
    </row>
    <row r="53" spans="1:22" x14ac:dyDescent="0.3">
      <c r="A53" s="1">
        <f t="shared" si="0"/>
        <v>53</v>
      </c>
      <c r="B53" s="31"/>
      <c r="C53" s="44" t="str">
        <f>+'BOS G2 NEMA'!C71</f>
        <v>Storm Reserve Adjustment</v>
      </c>
      <c r="D53" s="44"/>
      <c r="E53" s="86"/>
      <c r="F53" s="136"/>
      <c r="G53" s="53">
        <v>0</v>
      </c>
      <c r="H53" s="92"/>
      <c r="I53" s="53">
        <f t="shared" si="34"/>
        <v>0</v>
      </c>
      <c r="J53" s="53">
        <f t="shared" si="35"/>
        <v>0</v>
      </c>
      <c r="K53" s="53">
        <f t="shared" si="36"/>
        <v>0</v>
      </c>
      <c r="L53" s="88"/>
      <c r="M53" s="54">
        <f t="shared" si="37"/>
        <v>0</v>
      </c>
      <c r="N53" s="54">
        <f t="shared" si="38"/>
        <v>0</v>
      </c>
      <c r="O53" s="54"/>
      <c r="P53" s="54">
        <f t="shared" si="39"/>
        <v>0</v>
      </c>
      <c r="Q53" s="51" t="str">
        <f>+'BOS G2 NEMA'!Q71</f>
        <v>SRA</v>
      </c>
      <c r="R53" s="136"/>
      <c r="S53" s="136"/>
      <c r="T53" s="136"/>
      <c r="U53" s="136"/>
      <c r="V53" s="136"/>
    </row>
    <row r="54" spans="1:22" x14ac:dyDescent="0.3">
      <c r="A54" s="1">
        <f t="shared" si="0"/>
        <v>54</v>
      </c>
      <c r="B54" s="31"/>
      <c r="C54" s="44" t="str">
        <f>+'BOS G2 NEMA'!C72</f>
        <v>Basic Service Cost True Up Factor</v>
      </c>
      <c r="D54" s="44"/>
      <c r="E54" s="86"/>
      <c r="F54" s="136"/>
      <c r="G54" s="53">
        <v>-2.5000000000000001E-4</v>
      </c>
      <c r="H54" s="92"/>
      <c r="I54" s="53">
        <f t="shared" si="34"/>
        <v>-2.5000000000000001E-4</v>
      </c>
      <c r="J54" s="53">
        <f t="shared" si="35"/>
        <v>-2.5000000000000001E-4</v>
      </c>
      <c r="K54" s="53">
        <f t="shared" si="36"/>
        <v>-2.5000000000000001E-4</v>
      </c>
      <c r="L54" s="88"/>
      <c r="M54" s="54">
        <f t="shared" si="37"/>
        <v>0</v>
      </c>
      <c r="N54" s="54">
        <f t="shared" si="38"/>
        <v>0</v>
      </c>
      <c r="O54" s="54"/>
      <c r="P54" s="54">
        <f t="shared" si="39"/>
        <v>0</v>
      </c>
      <c r="Q54" s="51" t="str">
        <f>+'BOS G2 NEMA'!Q72</f>
        <v>BSTF</v>
      </c>
      <c r="R54" s="136"/>
      <c r="S54" s="136"/>
      <c r="T54" s="136"/>
      <c r="U54" s="136"/>
      <c r="V54" s="136"/>
    </row>
    <row r="55" spans="1:22" x14ac:dyDescent="0.3">
      <c r="A55" s="1">
        <f t="shared" si="0"/>
        <v>55</v>
      </c>
      <c r="B55" s="31"/>
      <c r="C55" s="44" t="str">
        <f>+'BOS G2 NEMA'!C73</f>
        <v>Solar Program Cost Adjustment Factor</v>
      </c>
      <c r="D55" s="44"/>
      <c r="E55" s="86"/>
      <c r="F55" s="136"/>
      <c r="G55" s="53">
        <v>1.0000000000000001E-5</v>
      </c>
      <c r="H55" s="92"/>
      <c r="I55" s="53">
        <f t="shared" si="34"/>
        <v>1.0000000000000001E-5</v>
      </c>
      <c r="J55" s="53">
        <f t="shared" si="35"/>
        <v>1.0000000000000001E-5</v>
      </c>
      <c r="K55" s="53">
        <f t="shared" si="36"/>
        <v>1.0000000000000001E-5</v>
      </c>
      <c r="L55" s="88"/>
      <c r="M55" s="54">
        <f t="shared" si="37"/>
        <v>0</v>
      </c>
      <c r="N55" s="54">
        <f t="shared" si="38"/>
        <v>0</v>
      </c>
      <c r="O55" s="54"/>
      <c r="P55" s="54">
        <f t="shared" si="39"/>
        <v>0</v>
      </c>
      <c r="Q55" s="51" t="str">
        <f>+'BOS G2 NEMA'!Q73</f>
        <v>SPCA</v>
      </c>
      <c r="R55" s="136"/>
      <c r="S55" s="136"/>
      <c r="T55" s="136"/>
      <c r="U55" s="136"/>
      <c r="V55" s="136"/>
    </row>
    <row r="56" spans="1:22" x14ac:dyDescent="0.3">
      <c r="A56" s="1">
        <f t="shared" si="0"/>
        <v>56</v>
      </c>
      <c r="B56" s="31"/>
      <c r="C56" s="44" t="str">
        <f>+'BOS G2 NEMA'!C74</f>
        <v>Solar Expansion Cost Recovery Factor</v>
      </c>
      <c r="D56" s="37"/>
      <c r="E56" s="37"/>
      <c r="F56" s="53"/>
      <c r="G56" s="53">
        <v>-2.7999999999999998E-4</v>
      </c>
      <c r="H56" s="53"/>
      <c r="I56" s="53">
        <f t="shared" si="34"/>
        <v>-2.7999999999999998E-4</v>
      </c>
      <c r="J56" s="53">
        <f t="shared" si="35"/>
        <v>-2.7999999999999998E-4</v>
      </c>
      <c r="K56" s="53">
        <f t="shared" si="36"/>
        <v>-2.7999999999999998E-4</v>
      </c>
      <c r="L56" s="88"/>
      <c r="M56" s="54">
        <f t="shared" si="37"/>
        <v>0</v>
      </c>
      <c r="N56" s="54">
        <f t="shared" si="38"/>
        <v>0</v>
      </c>
      <c r="O56" s="54"/>
      <c r="P56" s="54">
        <f t="shared" si="39"/>
        <v>0</v>
      </c>
      <c r="Q56" s="51" t="str">
        <f>+'BOS G2 NEMA'!Q74</f>
        <v>SECRF</v>
      </c>
    </row>
    <row r="57" spans="1:22" x14ac:dyDescent="0.3">
      <c r="A57" s="1">
        <f t="shared" si="0"/>
        <v>57</v>
      </c>
      <c r="B57" s="31"/>
      <c r="C57" s="44" t="str">
        <f>+'BOS G2 NEMA'!C75</f>
        <v>Vegetation Management</v>
      </c>
      <c r="D57" s="37"/>
      <c r="E57" s="37"/>
      <c r="F57" s="53"/>
      <c r="G57" s="53">
        <v>8.3000000000000001E-4</v>
      </c>
      <c r="H57" s="53"/>
      <c r="I57" s="53">
        <f t="shared" si="34"/>
        <v>8.3000000000000001E-4</v>
      </c>
      <c r="J57" s="53">
        <f t="shared" si="35"/>
        <v>8.3000000000000001E-4</v>
      </c>
      <c r="K57" s="53">
        <f t="shared" si="36"/>
        <v>8.3000000000000001E-4</v>
      </c>
      <c r="L57" s="88"/>
      <c r="M57" s="54">
        <f t="shared" si="37"/>
        <v>0</v>
      </c>
      <c r="N57" s="54">
        <f t="shared" si="38"/>
        <v>0</v>
      </c>
      <c r="O57" s="54"/>
      <c r="P57" s="54">
        <f t="shared" si="39"/>
        <v>0</v>
      </c>
      <c r="Q57" s="51" t="str">
        <f>+'BOS G2 NEMA'!Q75</f>
        <v>RTWF</v>
      </c>
    </row>
    <row r="58" spans="1:22" x14ac:dyDescent="0.3">
      <c r="A58" s="1">
        <f t="shared" si="0"/>
        <v>58</v>
      </c>
      <c r="B58" s="31"/>
      <c r="C58" s="44" t="str">
        <f>+'BOS G2 NEMA'!C76</f>
        <v>Tax Act Credit Factor</v>
      </c>
      <c r="D58" s="44"/>
      <c r="E58" s="86"/>
      <c r="F58" s="136"/>
      <c r="G58" s="53">
        <v>-9.8999999999999999E-4</v>
      </c>
      <c r="H58" s="92"/>
      <c r="I58" s="53">
        <f t="shared" si="34"/>
        <v>-9.8999999999999999E-4</v>
      </c>
      <c r="J58" s="53">
        <f t="shared" si="35"/>
        <v>-9.8999999999999999E-4</v>
      </c>
      <c r="K58" s="53">
        <f t="shared" si="36"/>
        <v>-9.8999999999999999E-4</v>
      </c>
      <c r="L58" s="88"/>
      <c r="M58" s="54">
        <f t="shared" si="37"/>
        <v>0</v>
      </c>
      <c r="N58" s="54">
        <f t="shared" si="38"/>
        <v>0</v>
      </c>
      <c r="O58" s="54"/>
      <c r="P58" s="54">
        <f t="shared" si="39"/>
        <v>0</v>
      </c>
      <c r="Q58" s="51" t="str">
        <f>+'BOS G2 NEMA'!Q76</f>
        <v>TACF</v>
      </c>
      <c r="R58" s="136"/>
      <c r="S58" s="136"/>
      <c r="T58" s="136"/>
      <c r="U58" s="136"/>
      <c r="V58" s="136"/>
    </row>
    <row r="59" spans="1:22" x14ac:dyDescent="0.3">
      <c r="A59" s="1">
        <f t="shared" si="0"/>
        <v>59</v>
      </c>
      <c r="B59" s="31"/>
      <c r="C59" s="44" t="str">
        <f>+'BOS G2 NEMA'!C77</f>
        <v>Grid Modernization</v>
      </c>
      <c r="D59" s="44"/>
      <c r="E59" s="86"/>
      <c r="F59" s="136"/>
      <c r="G59" s="53">
        <v>1.2199999999999999E-3</v>
      </c>
      <c r="H59" s="92"/>
      <c r="I59" s="53">
        <f t="shared" si="34"/>
        <v>1.2199999999999999E-3</v>
      </c>
      <c r="J59" s="53">
        <f t="shared" si="35"/>
        <v>1.2199999999999999E-3</v>
      </c>
      <c r="K59" s="53">
        <f t="shared" si="36"/>
        <v>1.2199999999999999E-3</v>
      </c>
      <c r="L59" s="88"/>
      <c r="M59" s="54">
        <f t="shared" si="37"/>
        <v>0</v>
      </c>
      <c r="N59" s="54">
        <f t="shared" si="38"/>
        <v>0</v>
      </c>
      <c r="O59" s="54"/>
      <c r="P59" s="54">
        <f t="shared" si="39"/>
        <v>0</v>
      </c>
      <c r="Q59" s="51" t="str">
        <f>+'BOS G2 NEMA'!Q77</f>
        <v>GMOD</v>
      </c>
      <c r="R59" s="136"/>
      <c r="S59" s="136"/>
      <c r="T59" s="136"/>
      <c r="U59" s="136"/>
      <c r="V59" s="136"/>
    </row>
    <row r="60" spans="1:22" x14ac:dyDescent="0.3">
      <c r="A60" s="1">
        <f t="shared" si="0"/>
        <v>60</v>
      </c>
      <c r="B60" s="31"/>
      <c r="C60" s="44" t="str">
        <f>+'BOS G2 NEMA'!C78</f>
        <v>Advanced Metering Infrastructure</v>
      </c>
      <c r="D60" s="44"/>
      <c r="E60" s="86"/>
      <c r="F60" s="136"/>
      <c r="G60" s="53">
        <v>1.6199999999999999E-3</v>
      </c>
      <c r="H60" s="92"/>
      <c r="I60" s="53">
        <f t="shared" si="34"/>
        <v>1.6199999999999999E-3</v>
      </c>
      <c r="J60" s="53">
        <f t="shared" si="35"/>
        <v>1.6199999999999999E-3</v>
      </c>
      <c r="K60" s="53">
        <f t="shared" si="36"/>
        <v>1.6199999999999999E-3</v>
      </c>
      <c r="L60" s="88"/>
      <c r="M60" s="54">
        <f t="shared" si="37"/>
        <v>0</v>
      </c>
      <c r="N60" s="54">
        <f t="shared" si="38"/>
        <v>0</v>
      </c>
      <c r="O60" s="54"/>
      <c r="P60" s="54">
        <f t="shared" si="39"/>
        <v>0</v>
      </c>
      <c r="Q60" s="51" t="str">
        <f>+'BOS G2 NEMA'!Q78</f>
        <v>AMIF</v>
      </c>
      <c r="R60" s="136"/>
      <c r="S60" s="136"/>
      <c r="T60" s="136"/>
      <c r="U60" s="136"/>
      <c r="V60" s="136"/>
    </row>
    <row r="61" spans="1:22" x14ac:dyDescent="0.3">
      <c r="A61" s="1">
        <f t="shared" si="0"/>
        <v>61</v>
      </c>
      <c r="B61" s="31"/>
      <c r="C61" s="44" t="str">
        <f>+'BOS G2 NEMA'!C79</f>
        <v>Electronic Payment Recovery</v>
      </c>
      <c r="D61" s="44"/>
      <c r="E61" s="86"/>
      <c r="F61" s="136"/>
      <c r="G61" s="53">
        <v>0</v>
      </c>
      <c r="H61" s="92"/>
      <c r="I61" s="53">
        <f t="shared" si="34"/>
        <v>0</v>
      </c>
      <c r="J61" s="53">
        <f t="shared" si="35"/>
        <v>0</v>
      </c>
      <c r="K61" s="53">
        <f t="shared" si="36"/>
        <v>0</v>
      </c>
      <c r="L61" s="88"/>
      <c r="M61" s="54">
        <f t="shared" si="37"/>
        <v>0</v>
      </c>
      <c r="N61" s="54">
        <f t="shared" si="38"/>
        <v>0</v>
      </c>
      <c r="O61" s="54"/>
      <c r="P61" s="54">
        <f t="shared" si="39"/>
        <v>0</v>
      </c>
      <c r="Q61" s="51" t="str">
        <f>+'BOS G2 NEMA'!Q79</f>
        <v>EPR</v>
      </c>
      <c r="R61" s="136"/>
      <c r="S61" s="136"/>
      <c r="T61" s="136"/>
      <c r="U61" s="136"/>
      <c r="V61" s="136"/>
    </row>
    <row r="62" spans="1:22" x14ac:dyDescent="0.3">
      <c r="A62" s="1">
        <f t="shared" si="0"/>
        <v>62</v>
      </c>
      <c r="B62" s="31"/>
      <c r="C62" s="44" t="str">
        <f>+'BOS G2 NEMA'!C80</f>
        <v>Provisional System Planning Factor</v>
      </c>
      <c r="D62" s="44"/>
      <c r="E62" s="86"/>
      <c r="F62" s="136"/>
      <c r="G62" s="91">
        <v>0</v>
      </c>
      <c r="H62" s="92"/>
      <c r="I62" s="91">
        <f t="shared" si="34"/>
        <v>0</v>
      </c>
      <c r="J62" s="91">
        <f t="shared" si="35"/>
        <v>0</v>
      </c>
      <c r="K62" s="91">
        <f t="shared" si="36"/>
        <v>0</v>
      </c>
      <c r="L62" s="88"/>
      <c r="M62" s="54">
        <f t="shared" si="37"/>
        <v>0</v>
      </c>
      <c r="N62" s="54">
        <f t="shared" si="38"/>
        <v>0</v>
      </c>
      <c r="O62" s="54"/>
      <c r="P62" s="54">
        <f t="shared" si="39"/>
        <v>0</v>
      </c>
      <c r="Q62" s="51" t="str">
        <f>+'BOS G2 NEMA'!Q80</f>
        <v>PSPF</v>
      </c>
      <c r="R62" s="136"/>
      <c r="S62" s="136"/>
      <c r="T62" s="136"/>
      <c r="U62" s="136"/>
      <c r="V62" s="136"/>
    </row>
    <row r="63" spans="1:22" x14ac:dyDescent="0.3">
      <c r="A63" s="1">
        <f t="shared" si="0"/>
        <v>63</v>
      </c>
      <c r="B63" s="31"/>
      <c r="C63" s="44" t="str">
        <f>+'BOS G2 NEMA'!C81</f>
        <v>Electric Vehicle Factor</v>
      </c>
      <c r="D63" s="44"/>
      <c r="E63" s="86"/>
      <c r="F63" s="136"/>
      <c r="G63" s="91">
        <v>7.6000000000000004E-4</v>
      </c>
      <c r="H63" s="92"/>
      <c r="I63" s="91">
        <f t="shared" si="34"/>
        <v>7.6000000000000004E-4</v>
      </c>
      <c r="J63" s="91">
        <f t="shared" si="35"/>
        <v>7.6000000000000004E-4</v>
      </c>
      <c r="K63" s="91">
        <f t="shared" si="36"/>
        <v>7.6000000000000004E-4</v>
      </c>
      <c r="L63" s="88"/>
      <c r="M63" s="54">
        <f t="shared" si="37"/>
        <v>0</v>
      </c>
      <c r="N63" s="54">
        <f t="shared" si="38"/>
        <v>0</v>
      </c>
      <c r="O63" s="54"/>
      <c r="P63" s="54">
        <f t="shared" si="39"/>
        <v>0</v>
      </c>
      <c r="Q63" s="51" t="str">
        <f>+'BOS G2 NEMA'!Q81</f>
        <v>EVF</v>
      </c>
      <c r="R63" s="136"/>
      <c r="S63" s="136"/>
      <c r="T63" s="136"/>
      <c r="U63" s="136"/>
      <c r="V63" s="136"/>
    </row>
    <row r="64" spans="1:22" x14ac:dyDescent="0.3">
      <c r="A64" s="1">
        <f t="shared" si="0"/>
        <v>64</v>
      </c>
      <c r="B64" s="31"/>
      <c r="C64" s="44" t="str">
        <f>+'BOS G2 NEMA'!C82</f>
        <v>Transition</v>
      </c>
      <c r="D64" s="44"/>
      <c r="E64" s="86"/>
      <c r="F64" s="136"/>
      <c r="G64" s="91">
        <v>-3.6999999999999999E-4</v>
      </c>
      <c r="H64" s="92"/>
      <c r="I64" s="91">
        <f t="shared" si="34"/>
        <v>-3.6999999999999999E-4</v>
      </c>
      <c r="J64" s="91">
        <f t="shared" si="35"/>
        <v>-3.6999999999999999E-4</v>
      </c>
      <c r="K64" s="91">
        <f t="shared" si="36"/>
        <v>-3.6999999999999999E-4</v>
      </c>
      <c r="L64" s="88"/>
      <c r="M64" s="54">
        <f t="shared" si="37"/>
        <v>0</v>
      </c>
      <c r="N64" s="54">
        <f t="shared" si="38"/>
        <v>0</v>
      </c>
      <c r="O64" s="54"/>
      <c r="P64" s="54">
        <f t="shared" si="39"/>
        <v>0</v>
      </c>
      <c r="Q64" s="51" t="str">
        <f>+'BOS G2 NEMA'!Q82</f>
        <v>TRNSN</v>
      </c>
      <c r="R64" s="136"/>
      <c r="S64" s="136"/>
      <c r="T64" s="136"/>
      <c r="U64" s="136"/>
      <c r="V64" s="136"/>
    </row>
    <row r="65" spans="1:24" x14ac:dyDescent="0.3">
      <c r="A65" s="1">
        <f t="shared" si="0"/>
        <v>65</v>
      </c>
      <c r="B65" s="31"/>
      <c r="C65" s="44" t="s">
        <v>147</v>
      </c>
      <c r="D65" s="44"/>
      <c r="E65" s="86"/>
      <c r="F65" s="136"/>
      <c r="G65" s="88">
        <v>12.81</v>
      </c>
      <c r="H65" s="88"/>
      <c r="I65" s="88">
        <f t="shared" si="34"/>
        <v>12.81</v>
      </c>
      <c r="J65" s="88">
        <f t="shared" si="35"/>
        <v>12.81</v>
      </c>
      <c r="K65" s="88">
        <f t="shared" si="36"/>
        <v>12.81</v>
      </c>
      <c r="L65" s="88"/>
      <c r="M65" s="50">
        <f t="shared" si="37"/>
        <v>0</v>
      </c>
      <c r="N65" s="50">
        <f t="shared" si="38"/>
        <v>0</v>
      </c>
      <c r="O65" s="50"/>
      <c r="P65" s="50">
        <f t="shared" si="39"/>
        <v>0</v>
      </c>
      <c r="Q65" s="51" t="s">
        <v>104</v>
      </c>
      <c r="R65" s="136"/>
      <c r="S65" s="136"/>
      <c r="T65" s="136"/>
      <c r="U65" s="136"/>
      <c r="V65" s="136"/>
    </row>
    <row r="66" spans="1:24" x14ac:dyDescent="0.3">
      <c r="A66" s="1">
        <f t="shared" si="0"/>
        <v>66</v>
      </c>
      <c r="B66" s="31"/>
      <c r="C66" s="44" t="s">
        <v>105</v>
      </c>
      <c r="E66" s="136"/>
      <c r="F66" s="136"/>
      <c r="G66" s="91">
        <v>-8.1300000000000001E-3</v>
      </c>
      <c r="H66" s="92"/>
      <c r="I66" s="91">
        <v>1.038E-2</v>
      </c>
      <c r="J66" s="91">
        <v>1.333E-2</v>
      </c>
      <c r="K66" s="91">
        <v>1.3129999999999999E-2</v>
      </c>
      <c r="L66" s="88"/>
      <c r="M66" s="54">
        <f t="shared" si="37"/>
        <v>1.8509999999999999E-2</v>
      </c>
      <c r="N66" s="54">
        <f t="shared" si="38"/>
        <v>2.9499999999999995E-3</v>
      </c>
      <c r="O66" s="54"/>
      <c r="P66" s="54">
        <f t="shared" si="39"/>
        <v>-2.0000000000000052E-4</v>
      </c>
      <c r="Q66" s="51" t="s">
        <v>106</v>
      </c>
      <c r="R66" s="136"/>
      <c r="S66" s="136"/>
      <c r="T66" s="136"/>
      <c r="U66" s="136"/>
      <c r="V66" s="136"/>
    </row>
    <row r="67" spans="1:24" x14ac:dyDescent="0.3">
      <c r="A67" s="1">
        <f t="shared" ref="A67:A72" si="40">A66+1</f>
        <v>67</v>
      </c>
      <c r="B67" s="31"/>
      <c r="C67" s="44" t="s">
        <v>107</v>
      </c>
      <c r="E67" s="136"/>
      <c r="F67" s="136"/>
      <c r="G67" s="91">
        <v>2.5000000000000001E-3</v>
      </c>
      <c r="H67" s="92"/>
      <c r="I67" s="91">
        <f t="shared" si="34"/>
        <v>2.5000000000000001E-3</v>
      </c>
      <c r="J67" s="91">
        <f t="shared" si="35"/>
        <v>2.5000000000000001E-3</v>
      </c>
      <c r="K67" s="91">
        <f t="shared" si="36"/>
        <v>2.5000000000000001E-3</v>
      </c>
      <c r="L67" s="88"/>
      <c r="M67" s="54">
        <f t="shared" si="37"/>
        <v>0</v>
      </c>
      <c r="N67" s="54">
        <f t="shared" si="38"/>
        <v>0</v>
      </c>
      <c r="O67" s="54"/>
      <c r="P67" s="54">
        <f t="shared" si="39"/>
        <v>0</v>
      </c>
      <c r="Q67" s="51" t="s">
        <v>108</v>
      </c>
      <c r="R67" s="136"/>
      <c r="S67" s="136"/>
      <c r="T67" s="136"/>
      <c r="U67" s="136"/>
      <c r="V67" s="136"/>
    </row>
    <row r="68" spans="1:24" x14ac:dyDescent="0.3">
      <c r="A68" s="1">
        <f t="shared" si="40"/>
        <v>68</v>
      </c>
      <c r="C68" s="44" t="s">
        <v>109</v>
      </c>
      <c r="E68" s="136"/>
      <c r="F68" s="136"/>
      <c r="G68" s="91">
        <v>5.0000000000000001E-4</v>
      </c>
      <c r="H68" s="92"/>
      <c r="I68" s="91">
        <f t="shared" si="34"/>
        <v>5.0000000000000001E-4</v>
      </c>
      <c r="J68" s="91">
        <f t="shared" si="35"/>
        <v>5.0000000000000001E-4</v>
      </c>
      <c r="K68" s="91">
        <f t="shared" si="36"/>
        <v>5.0000000000000001E-4</v>
      </c>
      <c r="L68" s="88"/>
      <c r="M68" s="54">
        <f t="shared" si="37"/>
        <v>0</v>
      </c>
      <c r="N68" s="54">
        <f t="shared" si="38"/>
        <v>0</v>
      </c>
      <c r="O68" s="54"/>
      <c r="P68" s="54">
        <f t="shared" si="39"/>
        <v>0</v>
      </c>
      <c r="Q68" s="51" t="s">
        <v>110</v>
      </c>
      <c r="R68" s="136"/>
      <c r="S68" s="136"/>
      <c r="T68" s="136"/>
      <c r="U68" s="136"/>
      <c r="V68" s="136"/>
    </row>
    <row r="69" spans="1:24" x14ac:dyDescent="0.3">
      <c r="A69" s="1">
        <f t="shared" si="40"/>
        <v>69</v>
      </c>
      <c r="C69" s="44" t="s">
        <v>111</v>
      </c>
      <c r="E69" s="136"/>
      <c r="F69" s="136"/>
      <c r="G69" s="92">
        <v>0.10423</v>
      </c>
      <c r="H69" s="92"/>
      <c r="I69" s="92">
        <f t="shared" si="34"/>
        <v>0.10423</v>
      </c>
      <c r="J69" s="92">
        <f t="shared" si="35"/>
        <v>0.10423</v>
      </c>
      <c r="K69" s="92">
        <f t="shared" si="36"/>
        <v>0.10423</v>
      </c>
      <c r="L69" s="88"/>
      <c r="M69" s="54">
        <f t="shared" si="37"/>
        <v>0</v>
      </c>
      <c r="N69" s="54">
        <f t="shared" si="38"/>
        <v>0</v>
      </c>
      <c r="O69" s="54"/>
      <c r="P69" s="54">
        <f t="shared" si="39"/>
        <v>0</v>
      </c>
      <c r="Q69" s="51" t="s">
        <v>112</v>
      </c>
      <c r="R69" s="136"/>
      <c r="S69" s="136"/>
      <c r="T69" s="136"/>
      <c r="U69" s="136"/>
      <c r="V69" s="136"/>
    </row>
    <row r="70" spans="1:24" x14ac:dyDescent="0.3">
      <c r="A70" s="1">
        <f t="shared" si="40"/>
        <v>70</v>
      </c>
      <c r="C70" s="44"/>
      <c r="E70" s="136"/>
      <c r="F70" s="136"/>
      <c r="G70" s="92"/>
      <c r="H70" s="92"/>
      <c r="I70" s="92"/>
      <c r="J70" s="94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X70" s="51"/>
    </row>
    <row r="71" spans="1:24" x14ac:dyDescent="0.3">
      <c r="A71" s="1">
        <f t="shared" si="40"/>
        <v>71</v>
      </c>
      <c r="C71" s="172" t="s">
        <v>167</v>
      </c>
      <c r="E71" s="195">
        <v>0.26</v>
      </c>
      <c r="F71" s="136"/>
      <c r="G71" s="92"/>
      <c r="H71" s="92"/>
      <c r="I71" s="92"/>
      <c r="J71" s="94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X71" s="51"/>
    </row>
    <row r="72" spans="1:24" x14ac:dyDescent="0.3">
      <c r="A72" s="1">
        <f t="shared" si="40"/>
        <v>72</v>
      </c>
      <c r="C72" s="172" t="s">
        <v>168</v>
      </c>
      <c r="E72" s="195">
        <v>0.74</v>
      </c>
      <c r="F72" s="136"/>
      <c r="G72" s="92"/>
      <c r="H72" s="92"/>
      <c r="I72" s="92"/>
      <c r="J72" s="94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X72" s="51"/>
    </row>
    <row r="73" spans="1:24" x14ac:dyDescent="0.3">
      <c r="A73" s="1"/>
      <c r="C73" s="44"/>
      <c r="E73" s="136"/>
      <c r="F73" s="136"/>
      <c r="G73" s="92"/>
      <c r="H73" s="92"/>
      <c r="I73" s="92"/>
      <c r="J73" s="94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X73" s="51"/>
    </row>
    <row r="74" spans="1:24" x14ac:dyDescent="0.3">
      <c r="A74" s="1"/>
      <c r="C74" s="44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</row>
    <row r="75" spans="1:24" x14ac:dyDescent="0.3">
      <c r="A75" s="1"/>
      <c r="C75" s="44" t="s">
        <v>58</v>
      </c>
      <c r="G75" s="88">
        <f>+G40</f>
        <v>110</v>
      </c>
      <c r="H75" s="88"/>
      <c r="I75" s="88">
        <f>+I40</f>
        <v>110</v>
      </c>
      <c r="J75" s="88">
        <f t="shared" ref="J75:K75" si="41">+J40</f>
        <v>110</v>
      </c>
      <c r="K75" s="88">
        <f t="shared" si="41"/>
        <v>110</v>
      </c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</row>
    <row r="76" spans="1:24" x14ac:dyDescent="0.3">
      <c r="A76" s="1"/>
      <c r="C76" s="44" t="s">
        <v>148</v>
      </c>
      <c r="E76" s="136"/>
      <c r="F76" s="136"/>
      <c r="G76" s="88">
        <f>SUM(G41,G65)</f>
        <v>23.12</v>
      </c>
      <c r="H76" s="88"/>
      <c r="I76" s="88">
        <f>SUM(I41,I65)</f>
        <v>23.12</v>
      </c>
      <c r="J76" s="88">
        <f t="shared" ref="J76:K76" si="42">SUM(J41,J65)</f>
        <v>23.12</v>
      </c>
      <c r="K76" s="88">
        <f t="shared" si="42"/>
        <v>23.12</v>
      </c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</row>
    <row r="77" spans="1:24" x14ac:dyDescent="0.3">
      <c r="A77" s="1"/>
      <c r="C77" s="44" t="s">
        <v>162</v>
      </c>
      <c r="E77" s="136"/>
      <c r="F77" s="136"/>
      <c r="G77" s="92">
        <f>SUM(G42,G44:G64,G66:G68)</f>
        <v>2.1989999999999999E-2</v>
      </c>
      <c r="H77" s="92"/>
      <c r="I77" s="92">
        <f>SUM(I42,I44:I64,I66:I68)</f>
        <v>4.0500000000000001E-2</v>
      </c>
      <c r="J77" s="92">
        <f t="shared" ref="J77:K77" si="43">SUM(J42,J44:J64,J66:J68)</f>
        <v>4.3450000000000003E-2</v>
      </c>
      <c r="K77" s="92">
        <f t="shared" si="43"/>
        <v>4.3249999999999997E-2</v>
      </c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</row>
    <row r="78" spans="1:24" x14ac:dyDescent="0.3">
      <c r="A78" s="1"/>
      <c r="C78" s="44" t="s">
        <v>204</v>
      </c>
      <c r="E78" s="136"/>
      <c r="F78" s="136"/>
      <c r="G78" s="92">
        <f>SUM(G43:G64,G66:G68)</f>
        <v>1.9230000000000001E-2</v>
      </c>
      <c r="H78" s="92"/>
      <c r="I78" s="92">
        <f>SUM(I43:I64,I66:I68)</f>
        <v>3.7740000000000003E-2</v>
      </c>
      <c r="J78" s="92">
        <f t="shared" ref="J78:K78" si="44">SUM(J43:J64,J66:J68)</f>
        <v>4.0690000000000004E-2</v>
      </c>
      <c r="K78" s="92">
        <f t="shared" si="44"/>
        <v>4.0489999999999998E-2</v>
      </c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</row>
    <row r="79" spans="1:24" x14ac:dyDescent="0.3">
      <c r="A79" s="1"/>
      <c r="C79" s="44" t="s">
        <v>123</v>
      </c>
      <c r="G79" s="91">
        <f>+G69</f>
        <v>0.10423</v>
      </c>
      <c r="H79" s="92"/>
      <c r="I79" s="91">
        <f>+I69</f>
        <v>0.10423</v>
      </c>
      <c r="J79" s="91">
        <f t="shared" ref="J79:K79" si="45">+J69</f>
        <v>0.10423</v>
      </c>
      <c r="K79" s="91">
        <f t="shared" si="45"/>
        <v>0.10423</v>
      </c>
    </row>
    <row r="80" spans="1:24" x14ac:dyDescent="0.3">
      <c r="A80" s="31"/>
      <c r="B80" s="31"/>
      <c r="I80" s="44"/>
      <c r="J80" s="44"/>
      <c r="K80" s="44"/>
    </row>
    <row r="81" spans="1:11" x14ac:dyDescent="0.3">
      <c r="A81" s="31"/>
      <c r="B81" s="31"/>
      <c r="F81" s="192"/>
      <c r="I81" s="44"/>
      <c r="J81" s="44"/>
      <c r="K81" s="44"/>
    </row>
    <row r="82" spans="1:11" x14ac:dyDescent="0.3">
      <c r="A82" s="31"/>
      <c r="B82" s="31"/>
      <c r="F82" s="192"/>
      <c r="I82" s="44"/>
      <c r="J82" s="44"/>
      <c r="K82" s="44"/>
    </row>
    <row r="83" spans="1:11" x14ac:dyDescent="0.3">
      <c r="A83" s="31"/>
      <c r="B83" s="31"/>
      <c r="C83" s="172"/>
      <c r="E83" s="178"/>
      <c r="F83" s="192"/>
      <c r="I83" s="44"/>
      <c r="J83" s="44"/>
      <c r="K83" s="44"/>
    </row>
    <row r="84" spans="1:11" x14ac:dyDescent="0.3">
      <c r="A84" s="31"/>
      <c r="B84" s="31"/>
      <c r="I84" s="44"/>
      <c r="J84" s="44"/>
      <c r="K84" s="44"/>
    </row>
    <row r="85" spans="1:11" x14ac:dyDescent="0.3">
      <c r="A85" s="31"/>
      <c r="B85" s="31"/>
      <c r="I85" s="44"/>
      <c r="J85" s="44"/>
      <c r="K85" s="44"/>
    </row>
    <row r="86" spans="1:11" x14ac:dyDescent="0.3">
      <c r="A86" s="31"/>
      <c r="B86" s="31"/>
      <c r="I86" s="44"/>
      <c r="J86" s="44"/>
      <c r="K86" s="44"/>
    </row>
    <row r="87" spans="1:11" x14ac:dyDescent="0.3">
      <c r="A87" s="31"/>
      <c r="B87" s="31"/>
      <c r="I87" s="44"/>
      <c r="J87" s="44"/>
      <c r="K87" s="44"/>
    </row>
    <row r="88" spans="1:11" x14ac:dyDescent="0.3">
      <c r="A88" s="31"/>
      <c r="B88" s="31"/>
      <c r="I88" s="44"/>
      <c r="J88" s="44"/>
      <c r="K88" s="44"/>
    </row>
    <row r="89" spans="1:11" x14ac:dyDescent="0.3">
      <c r="A89" s="31"/>
      <c r="B89" s="31"/>
      <c r="I89" s="44"/>
      <c r="J89" s="44"/>
      <c r="K89" s="44"/>
    </row>
    <row r="90" spans="1:11" x14ac:dyDescent="0.3">
      <c r="A90" s="31"/>
      <c r="B90" s="31"/>
      <c r="I90" s="44"/>
      <c r="J90" s="44"/>
      <c r="K90" s="44"/>
    </row>
    <row r="91" spans="1:11" x14ac:dyDescent="0.3">
      <c r="A91" s="31"/>
      <c r="B91" s="31"/>
      <c r="I91" s="44"/>
      <c r="J91" s="44"/>
      <c r="K91" s="44"/>
    </row>
    <row r="92" spans="1:11" x14ac:dyDescent="0.3">
      <c r="A92" s="31"/>
      <c r="B92" s="31"/>
      <c r="I92" s="44"/>
      <c r="J92" s="44"/>
      <c r="K92" s="44"/>
    </row>
    <row r="93" spans="1:11" x14ac:dyDescent="0.3">
      <c r="A93" s="31"/>
      <c r="B93" s="31"/>
      <c r="I93" s="44"/>
      <c r="J93" s="44"/>
      <c r="K93" s="44"/>
    </row>
    <row r="94" spans="1:11" x14ac:dyDescent="0.3">
      <c r="A94" s="31"/>
      <c r="B94" s="31"/>
      <c r="I94" s="44"/>
      <c r="J94" s="44"/>
      <c r="K94" s="44"/>
    </row>
    <row r="95" spans="1:11" x14ac:dyDescent="0.3">
      <c r="A95" s="31"/>
      <c r="B95" s="31"/>
      <c r="I95" s="44"/>
      <c r="J95" s="44"/>
      <c r="K95" s="44"/>
    </row>
    <row r="96" spans="1:11" x14ac:dyDescent="0.3">
      <c r="A96" s="31"/>
      <c r="B96" s="31"/>
      <c r="I96" s="44"/>
      <c r="J96" s="44"/>
      <c r="K96" s="44"/>
    </row>
    <row r="97" spans="1:23" x14ac:dyDescent="0.3">
      <c r="A97" s="31"/>
      <c r="B97" s="31"/>
      <c r="I97" s="44"/>
      <c r="J97" s="44"/>
      <c r="K97" s="44"/>
    </row>
    <row r="98" spans="1:23" x14ac:dyDescent="0.3">
      <c r="A98" s="31"/>
      <c r="B98" s="31"/>
      <c r="C98" s="179"/>
      <c r="I98" s="44"/>
      <c r="J98" s="44"/>
      <c r="K98" s="44"/>
    </row>
    <row r="99" spans="1:23" x14ac:dyDescent="0.3">
      <c r="A99" s="31"/>
      <c r="B99" s="31"/>
      <c r="C99" s="163"/>
      <c r="D99" s="163"/>
      <c r="E99" s="146"/>
      <c r="F99" s="146"/>
      <c r="G99" s="146"/>
      <c r="H99" s="147"/>
      <c r="I99" s="146"/>
      <c r="J99" s="146"/>
      <c r="K99" s="146"/>
      <c r="L99" s="147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8"/>
    </row>
    <row r="100" spans="1:23" x14ac:dyDescent="0.3">
      <c r="A100" s="31"/>
      <c r="B100" s="31"/>
      <c r="I100" s="44"/>
      <c r="J100" s="44"/>
      <c r="K100" s="44"/>
    </row>
    <row r="101" spans="1:23" x14ac:dyDescent="0.3">
      <c r="A101" s="31"/>
      <c r="B101" s="31"/>
      <c r="C101" s="163"/>
      <c r="D101" s="163"/>
      <c r="E101" s="146"/>
      <c r="F101" s="146"/>
      <c r="G101" s="146"/>
      <c r="H101" s="147"/>
      <c r="I101" s="146"/>
      <c r="J101" s="146"/>
      <c r="K101" s="146"/>
      <c r="L101" s="147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8"/>
    </row>
    <row r="102" spans="1:23" x14ac:dyDescent="0.3">
      <c r="A102" s="31"/>
      <c r="B102" s="31"/>
      <c r="I102" s="44"/>
      <c r="J102" s="44"/>
      <c r="K102" s="44"/>
    </row>
    <row r="103" spans="1:23" x14ac:dyDescent="0.3">
      <c r="A103" s="31"/>
      <c r="B103" s="31"/>
      <c r="I103" s="44"/>
      <c r="J103" s="44"/>
      <c r="K103" s="44"/>
    </row>
    <row r="104" spans="1:23" x14ac:dyDescent="0.3">
      <c r="A104" s="31"/>
      <c r="B104" s="31"/>
      <c r="I104" s="44"/>
      <c r="J104" s="44"/>
      <c r="K104" s="44"/>
    </row>
    <row r="105" spans="1:23" x14ac:dyDescent="0.3">
      <c r="A105" s="31"/>
      <c r="B105" s="31"/>
      <c r="I105" s="44"/>
      <c r="J105" s="44"/>
      <c r="K105" s="44"/>
    </row>
    <row r="106" spans="1:23" x14ac:dyDescent="0.3">
      <c r="A106" s="31"/>
      <c r="B106" s="31"/>
      <c r="I106" s="44"/>
      <c r="J106" s="44"/>
      <c r="K106" s="44"/>
    </row>
    <row r="107" spans="1:23" x14ac:dyDescent="0.3">
      <c r="A107" s="31"/>
      <c r="B107" s="31"/>
      <c r="I107" s="44"/>
      <c r="J107" s="44"/>
      <c r="K107" s="44"/>
    </row>
    <row r="108" spans="1:23" x14ac:dyDescent="0.3">
      <c r="A108" s="31"/>
      <c r="B108" s="31"/>
      <c r="I108" s="44"/>
      <c r="J108" s="44"/>
      <c r="K108" s="44"/>
    </row>
    <row r="109" spans="1:23" x14ac:dyDescent="0.3">
      <c r="A109" s="31"/>
      <c r="B109" s="31"/>
      <c r="I109" s="44"/>
      <c r="J109" s="44"/>
      <c r="K109" s="44"/>
    </row>
    <row r="110" spans="1:23" x14ac:dyDescent="0.3">
      <c r="A110" s="31"/>
      <c r="B110" s="31"/>
      <c r="I110" s="44"/>
      <c r="J110" s="44"/>
      <c r="K110" s="44"/>
    </row>
    <row r="111" spans="1:23" x14ac:dyDescent="0.3">
      <c r="A111" s="31"/>
      <c r="B111" s="31"/>
      <c r="I111" s="44"/>
      <c r="J111" s="44"/>
      <c r="K111" s="44"/>
    </row>
    <row r="112" spans="1:23" x14ac:dyDescent="0.3">
      <c r="A112" s="31"/>
      <c r="B112" s="31"/>
      <c r="I112" s="44"/>
      <c r="J112" s="44"/>
      <c r="K112" s="44"/>
    </row>
    <row r="113" spans="1:11" x14ac:dyDescent="0.3">
      <c r="A113" s="31"/>
      <c r="B113" s="31"/>
      <c r="I113" s="44"/>
      <c r="J113" s="44"/>
      <c r="K113" s="44"/>
    </row>
    <row r="114" spans="1:11" x14ac:dyDescent="0.3">
      <c r="A114" s="31"/>
      <c r="B114" s="31"/>
      <c r="I114" s="44"/>
      <c r="J114" s="44"/>
      <c r="K114" s="44"/>
    </row>
    <row r="115" spans="1:11" x14ac:dyDescent="0.3">
      <c r="A115" s="31"/>
      <c r="B115" s="31"/>
      <c r="I115" s="44"/>
      <c r="J115" s="44"/>
      <c r="K115" s="44"/>
    </row>
    <row r="116" spans="1:11" x14ac:dyDescent="0.3">
      <c r="A116" s="31"/>
      <c r="B116" s="31"/>
      <c r="I116" s="44"/>
      <c r="J116" s="44"/>
      <c r="K116" s="44"/>
    </row>
    <row r="117" spans="1:11" x14ac:dyDescent="0.3">
      <c r="A117" s="31"/>
      <c r="B117" s="31"/>
      <c r="I117" s="44"/>
      <c r="J117" s="44"/>
      <c r="K117" s="44"/>
    </row>
    <row r="118" spans="1:11" x14ac:dyDescent="0.3">
      <c r="A118" s="31"/>
      <c r="B118" s="31"/>
      <c r="I118" s="44"/>
      <c r="J118" s="44"/>
      <c r="K118" s="44"/>
    </row>
    <row r="119" spans="1:11" x14ac:dyDescent="0.3">
      <c r="A119" s="31"/>
      <c r="B119" s="31"/>
      <c r="I119" s="44"/>
      <c r="J119" s="44"/>
      <c r="K119" s="44"/>
    </row>
    <row r="120" spans="1:11" x14ac:dyDescent="0.3">
      <c r="A120" s="31"/>
      <c r="B120" s="31"/>
      <c r="I120" s="44"/>
      <c r="J120" s="44"/>
      <c r="K120" s="44"/>
    </row>
    <row r="121" spans="1:11" x14ac:dyDescent="0.3">
      <c r="A121" s="31"/>
      <c r="B121" s="31"/>
      <c r="I121" s="44"/>
      <c r="J121" s="44"/>
      <c r="K121" s="44"/>
    </row>
    <row r="122" spans="1:11" x14ac:dyDescent="0.3">
      <c r="A122" s="31"/>
      <c r="B122" s="31"/>
      <c r="I122" s="44"/>
      <c r="J122" s="44"/>
      <c r="K122" s="44"/>
    </row>
    <row r="123" spans="1:11" x14ac:dyDescent="0.3">
      <c r="A123" s="31"/>
      <c r="B123" s="31"/>
    </row>
    <row r="124" spans="1:11" x14ac:dyDescent="0.3">
      <c r="A124" s="31"/>
      <c r="B124" s="31"/>
    </row>
    <row r="125" spans="1:11" x14ac:dyDescent="0.3">
      <c r="A125" s="31"/>
      <c r="B125" s="31"/>
    </row>
    <row r="126" spans="1:11" x14ac:dyDescent="0.3">
      <c r="A126" s="31"/>
      <c r="B126" s="31"/>
    </row>
    <row r="127" spans="1:11" x14ac:dyDescent="0.3">
      <c r="A127" s="31"/>
      <c r="B127" s="31"/>
    </row>
    <row r="128" spans="1:11" x14ac:dyDescent="0.3">
      <c r="A128" s="31"/>
      <c r="B128" s="31"/>
    </row>
    <row r="129" spans="1:2" x14ac:dyDescent="0.3">
      <c r="A129" s="31"/>
      <c r="B129" s="31"/>
    </row>
    <row r="130" spans="1:2" x14ac:dyDescent="0.3">
      <c r="A130" s="31"/>
      <c r="B130" s="31"/>
    </row>
    <row r="131" spans="1:2" x14ac:dyDescent="0.3">
      <c r="A131" s="31"/>
      <c r="B131" s="31"/>
    </row>
    <row r="132" spans="1:2" x14ac:dyDescent="0.3">
      <c r="A132" s="31"/>
      <c r="B132" s="31"/>
    </row>
    <row r="133" spans="1:2" x14ac:dyDescent="0.3">
      <c r="A133" s="31"/>
      <c r="B133" s="31"/>
    </row>
    <row r="134" spans="1:2" x14ac:dyDescent="0.3">
      <c r="A134" s="31"/>
      <c r="B134" s="31"/>
    </row>
    <row r="135" spans="1:2" x14ac:dyDescent="0.3">
      <c r="A135" s="31"/>
      <c r="B135" s="31"/>
    </row>
    <row r="136" spans="1:2" x14ac:dyDescent="0.3">
      <c r="A136" s="31"/>
      <c r="B136" s="31"/>
    </row>
  </sheetData>
  <mergeCells count="7">
    <mergeCell ref="AA10:AB10"/>
    <mergeCell ref="E10:G10"/>
    <mergeCell ref="I10:K10"/>
    <mergeCell ref="M10:N10"/>
    <mergeCell ref="P10:R10"/>
    <mergeCell ref="T10:U10"/>
    <mergeCell ref="W10:Y10"/>
  </mergeCells>
  <pageMargins left="0.7" right="0.7" top="0.75" bottom="0.75" header="0.3" footer="0.3"/>
  <pageSetup scale="35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620C4-1E7E-4CDD-B3E8-9ACF2D70C31A}">
  <sheetPr>
    <tabColor theme="3" tint="0.59999389629810485"/>
    <pageSetUpPr fitToPage="1"/>
  </sheetPr>
  <dimension ref="A1:AA61"/>
  <sheetViews>
    <sheetView zoomScaleNormal="100" workbookViewId="0"/>
  </sheetViews>
  <sheetFormatPr defaultColWidth="8.7265625" defaultRowHeight="13" x14ac:dyDescent="0.3"/>
  <cols>
    <col min="1" max="1" width="4" style="58" bestFit="1" customWidth="1"/>
    <col min="2" max="2" width="5.54296875" style="58" bestFit="1" customWidth="1"/>
    <col min="3" max="6" width="12" style="58" customWidth="1"/>
    <col min="7" max="7" width="2" style="58" customWidth="1"/>
    <col min="8" max="10" width="12" style="58" customWidth="1"/>
    <col min="11" max="11" width="2" style="58" customWidth="1"/>
    <col min="12" max="13" width="12" style="58" customWidth="1"/>
    <col min="14" max="14" width="2" style="58" customWidth="1"/>
    <col min="15" max="17" width="12" style="58" customWidth="1"/>
    <col min="18" max="18" width="2" style="58" customWidth="1"/>
    <col min="19" max="20" width="12" style="58" customWidth="1"/>
    <col min="21" max="21" width="2" style="58" customWidth="1"/>
    <col min="22" max="24" width="12" style="58" customWidth="1"/>
    <col min="25" max="25" width="2" style="58" customWidth="1"/>
    <col min="26" max="27" width="12" style="58" customWidth="1"/>
    <col min="28" max="16384" width="8.7265625" style="58"/>
  </cols>
  <sheetData>
    <row r="1" spans="1:27" x14ac:dyDescent="0.3">
      <c r="A1" s="57">
        <v>1</v>
      </c>
    </row>
    <row r="2" spans="1:27" x14ac:dyDescent="0.3">
      <c r="A2" s="57">
        <f>A1+1</f>
        <v>2</v>
      </c>
    </row>
    <row r="3" spans="1:27" ht="14" x14ac:dyDescent="0.3">
      <c r="A3" s="57">
        <f t="shared" ref="A3:A57" si="0">A2+1</f>
        <v>3</v>
      </c>
      <c r="B3" s="24" t="s">
        <v>115</v>
      </c>
    </row>
    <row r="4" spans="1:27" ht="14" x14ac:dyDescent="0.3">
      <c r="A4" s="57">
        <f t="shared" si="0"/>
        <v>4</v>
      </c>
      <c r="B4" s="24" t="s">
        <v>41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6"/>
    </row>
    <row r="5" spans="1:27" ht="14" x14ac:dyDescent="0.3">
      <c r="A5" s="57">
        <f t="shared" si="0"/>
        <v>5</v>
      </c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6"/>
    </row>
    <row r="6" spans="1:27" ht="14" x14ac:dyDescent="0.3">
      <c r="A6" s="57">
        <f t="shared" si="0"/>
        <v>6</v>
      </c>
      <c r="B6" s="24" t="s">
        <v>42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6"/>
    </row>
    <row r="7" spans="1:27" ht="14" x14ac:dyDescent="0.3">
      <c r="A7" s="57">
        <f t="shared" si="0"/>
        <v>7</v>
      </c>
      <c r="B7" s="57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</row>
    <row r="8" spans="1:27" ht="14" x14ac:dyDescent="0.3">
      <c r="A8" s="57">
        <f t="shared" si="0"/>
        <v>8</v>
      </c>
      <c r="B8" s="27"/>
      <c r="C8" s="28"/>
      <c r="D8" s="28"/>
      <c r="E8" s="28"/>
      <c r="F8" s="29"/>
      <c r="G8" s="28"/>
    </row>
    <row r="9" spans="1:27" ht="14" x14ac:dyDescent="0.3">
      <c r="A9" s="57">
        <f t="shared" si="0"/>
        <v>9</v>
      </c>
      <c r="B9" s="27"/>
      <c r="C9" s="28"/>
      <c r="D9" s="28"/>
      <c r="E9" s="28"/>
      <c r="F9" s="30"/>
      <c r="G9" s="28"/>
    </row>
    <row r="10" spans="1:27" ht="14" x14ac:dyDescent="0.3">
      <c r="A10" s="57">
        <f t="shared" si="0"/>
        <v>10</v>
      </c>
      <c r="B10" s="31"/>
      <c r="C10" s="27" t="s">
        <v>2</v>
      </c>
      <c r="D10" s="32" t="str">
        <f>'EMA R1'!D10</f>
        <v>2024 Monthly Bill</v>
      </c>
      <c r="E10" s="32"/>
      <c r="F10" s="32"/>
      <c r="G10" s="33"/>
      <c r="H10" s="32" t="str">
        <f>'EMA R1'!H10</f>
        <v>2025 Illustrative Monthly Bill</v>
      </c>
      <c r="I10" s="32"/>
      <c r="J10" s="32"/>
      <c r="K10" s="23"/>
      <c r="L10" s="32" t="str">
        <f>'EMA R1'!L10</f>
        <v>2025 vs. 2024</v>
      </c>
      <c r="M10" s="32"/>
      <c r="N10" s="27"/>
      <c r="O10" s="32" t="str">
        <f>'EMA R1'!O10</f>
        <v>2026 Illustrative Monthly Bill</v>
      </c>
      <c r="P10" s="32"/>
      <c r="Q10" s="32"/>
      <c r="R10" s="33"/>
      <c r="S10" s="32" t="str">
        <f>'EMA R1'!S10</f>
        <v>2026 vs. 2025</v>
      </c>
      <c r="T10" s="32"/>
      <c r="U10" s="23"/>
      <c r="V10" s="32" t="str">
        <f>'EMA R1'!V10</f>
        <v>2027 Illustrative Monthly Bill</v>
      </c>
      <c r="W10" s="32"/>
      <c r="X10" s="32"/>
      <c r="Y10" s="33"/>
      <c r="Z10" s="32" t="str">
        <f>'EMA R1'!Z10</f>
        <v>2027 vs. 2026</v>
      </c>
      <c r="AA10" s="32"/>
    </row>
    <row r="11" spans="1:27" ht="14" x14ac:dyDescent="0.3">
      <c r="A11" s="57">
        <f t="shared" si="0"/>
        <v>11</v>
      </c>
      <c r="B11" s="31"/>
      <c r="C11" s="34" t="s">
        <v>47</v>
      </c>
      <c r="D11" s="34" t="s">
        <v>48</v>
      </c>
      <c r="E11" s="34" t="s">
        <v>49</v>
      </c>
      <c r="F11" s="34" t="s">
        <v>50</v>
      </c>
      <c r="G11" s="34"/>
      <c r="H11" s="34" t="s">
        <v>48</v>
      </c>
      <c r="I11" s="34" t="s">
        <v>49</v>
      </c>
      <c r="J11" s="34" t="s">
        <v>50</v>
      </c>
      <c r="K11" s="23"/>
      <c r="L11" s="34" t="s">
        <v>51</v>
      </c>
      <c r="M11" s="34" t="s">
        <v>14</v>
      </c>
      <c r="N11" s="34"/>
      <c r="O11" s="34" t="s">
        <v>48</v>
      </c>
      <c r="P11" s="34" t="s">
        <v>49</v>
      </c>
      <c r="Q11" s="34" t="s">
        <v>50</v>
      </c>
      <c r="R11" s="34"/>
      <c r="S11" s="34" t="s">
        <v>51</v>
      </c>
      <c r="T11" s="34" t="s">
        <v>14</v>
      </c>
      <c r="U11" s="23"/>
      <c r="V11" s="34" t="s">
        <v>48</v>
      </c>
      <c r="W11" s="34" t="s">
        <v>49</v>
      </c>
      <c r="X11" s="34" t="s">
        <v>50</v>
      </c>
      <c r="Y11" s="34"/>
      <c r="Z11" s="34" t="s">
        <v>51</v>
      </c>
      <c r="AA11" s="34" t="s">
        <v>14</v>
      </c>
    </row>
    <row r="12" spans="1:27" ht="14" x14ac:dyDescent="0.3">
      <c r="A12" s="57">
        <f t="shared" si="0"/>
        <v>12</v>
      </c>
      <c r="B12" s="31"/>
      <c r="C12" s="35">
        <v>100</v>
      </c>
      <c r="D12" s="36">
        <f>ROUND(SUM($H$31:$H$56)*C12,2)+H$30</f>
        <v>27.56</v>
      </c>
      <c r="E12" s="36">
        <f>ROUND($H$57*C12,2)</f>
        <v>14.02</v>
      </c>
      <c r="F12" s="36">
        <f>SUM(D12:E12)</f>
        <v>41.58</v>
      </c>
      <c r="G12" s="36"/>
      <c r="H12" s="36">
        <f>ROUND(SUM($I$31:$I$56)*C12,2)+I$30</f>
        <v>28.42</v>
      </c>
      <c r="I12" s="36">
        <f>ROUND($I$57*C12,2)</f>
        <v>14.02</v>
      </c>
      <c r="J12" s="36">
        <f>SUM(H12:I12)</f>
        <v>42.44</v>
      </c>
      <c r="K12" s="37"/>
      <c r="L12" s="36">
        <f>+J12-F12</f>
        <v>0.85999999999999943</v>
      </c>
      <c r="M12" s="39">
        <f>+L12/F12</f>
        <v>2.0683020683020671E-2</v>
      </c>
      <c r="N12" s="39"/>
      <c r="O12" s="36">
        <f>ROUND(SUM($J$31:$J$56)*C12,2)+J$30</f>
        <v>28.65</v>
      </c>
      <c r="P12" s="36">
        <f t="shared" ref="P12:P25" si="1">ROUND($J$57*C12,2)</f>
        <v>14.02</v>
      </c>
      <c r="Q12" s="36">
        <f>SUM(O12:P12)</f>
        <v>42.67</v>
      </c>
      <c r="R12" s="36"/>
      <c r="S12" s="36">
        <f>+Q12-J12</f>
        <v>0.23000000000000398</v>
      </c>
      <c r="T12" s="39">
        <f>+S12/J12</f>
        <v>5.4194156456174366E-3</v>
      </c>
      <c r="U12" s="23"/>
      <c r="V12" s="36">
        <f>ROUND(SUM($L$31:$L$56)*C12,2)+L$30</f>
        <v>29.1</v>
      </c>
      <c r="W12" s="36">
        <f>ROUND($L$57*C12,2)</f>
        <v>14.02</v>
      </c>
      <c r="X12" s="36">
        <f>SUM(V12:W12)</f>
        <v>43.120000000000005</v>
      </c>
      <c r="Y12" s="36"/>
      <c r="Z12" s="36">
        <f>X12-Q12</f>
        <v>0.45000000000000284</v>
      </c>
      <c r="AA12" s="39">
        <f>+Z12/Q12</f>
        <v>1.0546051089758679E-2</v>
      </c>
    </row>
    <row r="13" spans="1:27" ht="14" x14ac:dyDescent="0.3">
      <c r="A13" s="57">
        <f t="shared" si="0"/>
        <v>13</v>
      </c>
      <c r="B13" s="31"/>
      <c r="C13" s="35">
        <v>200</v>
      </c>
      <c r="D13" s="36">
        <f t="shared" ref="D13:D25" si="2">ROUND(SUM($H$31:$H$56)*C13,2)+H$30</f>
        <v>45.12</v>
      </c>
      <c r="E13" s="36">
        <f t="shared" ref="E13:E25" si="3">ROUND($H$57*C13,2)</f>
        <v>28.05</v>
      </c>
      <c r="F13" s="36">
        <f t="shared" ref="F13:F25" si="4">SUM(D13:E13)</f>
        <v>73.17</v>
      </c>
      <c r="G13" s="36"/>
      <c r="H13" s="36">
        <f t="shared" ref="H13:H25" si="5">ROUND(SUM($I$31:$I$56)*C13,2)+I$30</f>
        <v>46.84</v>
      </c>
      <c r="I13" s="36">
        <f t="shared" ref="I13:I25" si="6">ROUND($I$57*C13,2)</f>
        <v>28.05</v>
      </c>
      <c r="J13" s="36">
        <f t="shared" ref="J13:J25" si="7">SUM(H13:I13)</f>
        <v>74.89</v>
      </c>
      <c r="K13" s="37"/>
      <c r="L13" s="36">
        <f t="shared" ref="L13:L25" si="8">+J13-F13</f>
        <v>1.7199999999999989</v>
      </c>
      <c r="M13" s="39">
        <f t="shared" ref="M13:M25" si="9">+L13/F13</f>
        <v>2.3506901735684007E-2</v>
      </c>
      <c r="N13" s="39"/>
      <c r="O13" s="36">
        <f t="shared" ref="O13:O25" si="10">ROUND(SUM($J$31:$J$56)*C13,2)+J$30</f>
        <v>47.3</v>
      </c>
      <c r="P13" s="36">
        <f t="shared" si="1"/>
        <v>28.05</v>
      </c>
      <c r="Q13" s="36">
        <f t="shared" ref="Q13:Q25" si="11">SUM(O13:P13)</f>
        <v>75.349999999999994</v>
      </c>
      <c r="R13" s="36"/>
      <c r="S13" s="36">
        <f t="shared" ref="S13:S25" si="12">+Q13-J13</f>
        <v>0.45999999999999375</v>
      </c>
      <c r="T13" s="39">
        <f>+S13/J13</f>
        <v>6.1423421017491485E-3</v>
      </c>
      <c r="U13" s="23"/>
      <c r="V13" s="36">
        <f t="shared" ref="V13:V25" si="13">ROUND(SUM($L$31:$L$56)*C13,2)+L$30</f>
        <v>48.2</v>
      </c>
      <c r="W13" s="36">
        <f t="shared" ref="W13:W25" si="14">ROUND($L$57*C13,2)</f>
        <v>28.05</v>
      </c>
      <c r="X13" s="36">
        <f t="shared" ref="X13:X25" si="15">SUM(V13:W13)</f>
        <v>76.25</v>
      </c>
      <c r="Y13" s="36"/>
      <c r="Z13" s="36">
        <f t="shared" ref="Z13:Z25" si="16">X13-Q13</f>
        <v>0.90000000000000568</v>
      </c>
      <c r="AA13" s="39">
        <f t="shared" ref="AA13:AA25" si="17">+Z13/Q13</f>
        <v>1.1944260119442678E-2</v>
      </c>
    </row>
    <row r="14" spans="1:27" ht="14" x14ac:dyDescent="0.3">
      <c r="A14" s="57">
        <f t="shared" si="0"/>
        <v>14</v>
      </c>
      <c r="B14" s="31"/>
      <c r="C14" s="35">
        <v>300</v>
      </c>
      <c r="D14" s="36">
        <f t="shared" si="2"/>
        <v>62.69</v>
      </c>
      <c r="E14" s="36">
        <f t="shared" si="3"/>
        <v>42.07</v>
      </c>
      <c r="F14" s="36">
        <f t="shared" si="4"/>
        <v>104.75999999999999</v>
      </c>
      <c r="G14" s="36"/>
      <c r="H14" s="36">
        <f t="shared" si="5"/>
        <v>65.259999999999991</v>
      </c>
      <c r="I14" s="36">
        <f t="shared" si="6"/>
        <v>42.07</v>
      </c>
      <c r="J14" s="36">
        <f t="shared" si="7"/>
        <v>107.32999999999998</v>
      </c>
      <c r="K14" s="37"/>
      <c r="L14" s="36">
        <f t="shared" si="8"/>
        <v>2.5699999999999932</v>
      </c>
      <c r="M14" s="39">
        <f t="shared" si="9"/>
        <v>2.4532264222985808E-2</v>
      </c>
      <c r="N14" s="39"/>
      <c r="O14" s="36">
        <f t="shared" si="10"/>
        <v>65.95</v>
      </c>
      <c r="P14" s="36">
        <f t="shared" si="1"/>
        <v>42.07</v>
      </c>
      <c r="Q14" s="36">
        <f t="shared" si="11"/>
        <v>108.02000000000001</v>
      </c>
      <c r="R14" s="36"/>
      <c r="S14" s="36">
        <f t="shared" si="12"/>
        <v>0.69000000000002615</v>
      </c>
      <c r="T14" s="39">
        <f t="shared" ref="T14:T25" si="18">+S14/J14</f>
        <v>6.4287710798474444E-3</v>
      </c>
      <c r="U14" s="23"/>
      <c r="V14" s="36">
        <f>ROUND(SUM($L$31:$L$56)*C14,2)+L$30</f>
        <v>67.289999999999992</v>
      </c>
      <c r="W14" s="36">
        <f t="shared" si="14"/>
        <v>42.07</v>
      </c>
      <c r="X14" s="36">
        <f t="shared" si="15"/>
        <v>109.35999999999999</v>
      </c>
      <c r="Y14" s="36"/>
      <c r="Z14" s="36">
        <f t="shared" si="16"/>
        <v>1.339999999999975</v>
      </c>
      <c r="AA14" s="39">
        <f t="shared" si="17"/>
        <v>1.2405110164784067E-2</v>
      </c>
    </row>
    <row r="15" spans="1:27" ht="14" x14ac:dyDescent="0.3">
      <c r="A15" s="57">
        <f t="shared" si="0"/>
        <v>15</v>
      </c>
      <c r="B15" s="31"/>
      <c r="C15" s="35">
        <v>400</v>
      </c>
      <c r="D15" s="36">
        <f t="shared" si="2"/>
        <v>80.25</v>
      </c>
      <c r="E15" s="36">
        <f t="shared" si="3"/>
        <v>56.09</v>
      </c>
      <c r="F15" s="36">
        <f t="shared" si="4"/>
        <v>136.34</v>
      </c>
      <c r="G15" s="36"/>
      <c r="H15" s="36">
        <f t="shared" si="5"/>
        <v>83.68</v>
      </c>
      <c r="I15" s="36">
        <f t="shared" si="6"/>
        <v>56.09</v>
      </c>
      <c r="J15" s="36">
        <f t="shared" si="7"/>
        <v>139.77000000000001</v>
      </c>
      <c r="K15" s="37"/>
      <c r="L15" s="36">
        <f t="shared" si="8"/>
        <v>3.4300000000000068</v>
      </c>
      <c r="M15" s="39">
        <f t="shared" si="9"/>
        <v>2.5157694000293433E-2</v>
      </c>
      <c r="N15" s="39"/>
      <c r="O15" s="36">
        <f>ROUND(SUM($J$31:$J$56)*C15,2)+J$30</f>
        <v>84.6</v>
      </c>
      <c r="P15" s="36">
        <f>ROUND($J$57*C15,2)</f>
        <v>56.09</v>
      </c>
      <c r="Q15" s="36">
        <f t="shared" si="11"/>
        <v>140.69</v>
      </c>
      <c r="R15" s="36"/>
      <c r="S15" s="36">
        <f t="shared" si="12"/>
        <v>0.91999999999998749</v>
      </c>
      <c r="T15" s="39">
        <f t="shared" si="18"/>
        <v>6.5822422551333436E-3</v>
      </c>
      <c r="U15" s="23"/>
      <c r="V15" s="36">
        <f t="shared" si="13"/>
        <v>86.39</v>
      </c>
      <c r="W15" s="36">
        <f t="shared" si="14"/>
        <v>56.09</v>
      </c>
      <c r="X15" s="36">
        <f t="shared" si="15"/>
        <v>142.48000000000002</v>
      </c>
      <c r="Y15" s="36"/>
      <c r="Z15" s="36">
        <f t="shared" si="16"/>
        <v>1.7900000000000205</v>
      </c>
      <c r="AA15" s="39">
        <f t="shared" si="17"/>
        <v>1.2723008031843204E-2</v>
      </c>
    </row>
    <row r="16" spans="1:27" ht="14" x14ac:dyDescent="0.3">
      <c r="A16" s="57">
        <f t="shared" si="0"/>
        <v>16</v>
      </c>
      <c r="B16" s="31"/>
      <c r="C16" s="35">
        <v>500</v>
      </c>
      <c r="D16" s="36">
        <f t="shared" si="2"/>
        <v>97.81</v>
      </c>
      <c r="E16" s="36">
        <f t="shared" si="3"/>
        <v>70.12</v>
      </c>
      <c r="F16" s="36">
        <f t="shared" si="4"/>
        <v>167.93</v>
      </c>
      <c r="G16" s="36"/>
      <c r="H16" s="36">
        <f t="shared" si="5"/>
        <v>102.1</v>
      </c>
      <c r="I16" s="36">
        <f>ROUND($I$57*C16,2)</f>
        <v>70.12</v>
      </c>
      <c r="J16" s="36">
        <f t="shared" si="7"/>
        <v>172.22</v>
      </c>
      <c r="K16" s="37"/>
      <c r="L16" s="36">
        <f t="shared" si="8"/>
        <v>4.289999999999992</v>
      </c>
      <c r="M16" s="39">
        <f t="shared" si="9"/>
        <v>2.5546358601798321E-2</v>
      </c>
      <c r="N16" s="39"/>
      <c r="O16" s="36">
        <f t="shared" si="10"/>
        <v>103.25</v>
      </c>
      <c r="P16" s="36">
        <f t="shared" si="1"/>
        <v>70.12</v>
      </c>
      <c r="Q16" s="36">
        <f t="shared" si="11"/>
        <v>173.37</v>
      </c>
      <c r="R16" s="36"/>
      <c r="S16" s="36">
        <f t="shared" si="12"/>
        <v>1.1500000000000057</v>
      </c>
      <c r="T16" s="39">
        <f t="shared" si="18"/>
        <v>6.6775055162002425E-3</v>
      </c>
      <c r="U16" s="23"/>
      <c r="V16" s="36">
        <f>ROUND(SUM($L$31:$L$56)*C16,2)+L$30</f>
        <v>105.49</v>
      </c>
      <c r="W16" s="36">
        <f t="shared" si="14"/>
        <v>70.12</v>
      </c>
      <c r="X16" s="36">
        <f t="shared" si="15"/>
        <v>175.61</v>
      </c>
      <c r="Y16" s="36"/>
      <c r="Z16" s="36">
        <f t="shared" si="16"/>
        <v>2.2400000000000091</v>
      </c>
      <c r="AA16" s="39">
        <f t="shared" si="17"/>
        <v>1.2920343773432595E-2</v>
      </c>
    </row>
    <row r="17" spans="1:27" ht="14" x14ac:dyDescent="0.3">
      <c r="A17" s="57">
        <f t="shared" si="0"/>
        <v>17</v>
      </c>
      <c r="B17" s="31"/>
      <c r="C17" s="35">
        <v>600</v>
      </c>
      <c r="D17" s="36">
        <f>ROUND(SUM($H$31:$H$56)*C17,2)+H$30</f>
        <v>115.37</v>
      </c>
      <c r="E17" s="36">
        <f t="shared" si="3"/>
        <v>84.14</v>
      </c>
      <c r="F17" s="36">
        <f t="shared" si="4"/>
        <v>199.51</v>
      </c>
      <c r="G17" s="36"/>
      <c r="H17" s="36">
        <f t="shared" si="5"/>
        <v>120.51</v>
      </c>
      <c r="I17" s="36">
        <f>ROUND($I$57*C17,2)</f>
        <v>84.14</v>
      </c>
      <c r="J17" s="36">
        <f t="shared" si="7"/>
        <v>204.65</v>
      </c>
      <c r="K17" s="37"/>
      <c r="L17" s="36">
        <f t="shared" si="8"/>
        <v>5.1400000000000148</v>
      </c>
      <c r="M17" s="39">
        <f t="shared" si="9"/>
        <v>2.5763119643125734E-2</v>
      </c>
      <c r="N17" s="39"/>
      <c r="O17" s="36">
        <f t="shared" si="10"/>
        <v>121.9</v>
      </c>
      <c r="P17" s="36">
        <f>ROUND($J$57*C17,2)</f>
        <v>84.14</v>
      </c>
      <c r="Q17" s="36">
        <f t="shared" si="11"/>
        <v>206.04000000000002</v>
      </c>
      <c r="R17" s="36"/>
      <c r="S17" s="36">
        <f t="shared" si="12"/>
        <v>1.3900000000000148</v>
      </c>
      <c r="T17" s="39">
        <f t="shared" si="18"/>
        <v>6.7920840459321508E-3</v>
      </c>
      <c r="U17" s="23"/>
      <c r="V17" s="36">
        <f t="shared" si="13"/>
        <v>124.59</v>
      </c>
      <c r="W17" s="36">
        <f>ROUND($L$57*C17,2)</f>
        <v>84.14</v>
      </c>
      <c r="X17" s="36">
        <f t="shared" si="15"/>
        <v>208.73000000000002</v>
      </c>
      <c r="Y17" s="36"/>
      <c r="Z17" s="36">
        <f t="shared" si="16"/>
        <v>2.6899999999999977</v>
      </c>
      <c r="AA17" s="39">
        <f t="shared" si="17"/>
        <v>1.3055717336439515E-2</v>
      </c>
    </row>
    <row r="18" spans="1:27" ht="14" x14ac:dyDescent="0.3">
      <c r="A18" s="57">
        <f t="shared" si="0"/>
        <v>18</v>
      </c>
      <c r="B18" s="31"/>
      <c r="C18" s="35">
        <v>700</v>
      </c>
      <c r="D18" s="36">
        <f>ROUND(SUM($H$31:$H$56)*C18,2)+H$30</f>
        <v>132.93</v>
      </c>
      <c r="E18" s="36">
        <f t="shared" si="3"/>
        <v>98.16</v>
      </c>
      <c r="F18" s="36">
        <f t="shared" si="4"/>
        <v>231.09</v>
      </c>
      <c r="G18" s="36"/>
      <c r="H18" s="36">
        <f t="shared" si="5"/>
        <v>138.93</v>
      </c>
      <c r="I18" s="36">
        <f t="shared" si="6"/>
        <v>98.16</v>
      </c>
      <c r="J18" s="36">
        <f t="shared" si="7"/>
        <v>237.09</v>
      </c>
      <c r="K18" s="37"/>
      <c r="L18" s="36">
        <f t="shared" si="8"/>
        <v>6</v>
      </c>
      <c r="M18" s="39">
        <f t="shared" si="9"/>
        <v>2.5963910164870829E-2</v>
      </c>
      <c r="N18" s="39"/>
      <c r="O18" s="36">
        <f t="shared" si="10"/>
        <v>140.55000000000001</v>
      </c>
      <c r="P18" s="36">
        <f t="shared" si="1"/>
        <v>98.16</v>
      </c>
      <c r="Q18" s="36">
        <f t="shared" si="11"/>
        <v>238.71</v>
      </c>
      <c r="R18" s="36"/>
      <c r="S18" s="36">
        <f t="shared" si="12"/>
        <v>1.6200000000000045</v>
      </c>
      <c r="T18" s="39">
        <f t="shared" si="18"/>
        <v>6.8328482854612361E-3</v>
      </c>
      <c r="U18" s="23"/>
      <c r="V18" s="36">
        <f t="shared" si="13"/>
        <v>143.69</v>
      </c>
      <c r="W18" s="36">
        <f t="shared" si="14"/>
        <v>98.16</v>
      </c>
      <c r="X18" s="36">
        <f t="shared" si="15"/>
        <v>241.85</v>
      </c>
      <c r="Y18" s="36"/>
      <c r="Z18" s="36">
        <f t="shared" si="16"/>
        <v>3.1399999999999864</v>
      </c>
      <c r="AA18" s="39">
        <f t="shared" si="17"/>
        <v>1.3154036278329296E-2</v>
      </c>
    </row>
    <row r="19" spans="1:27" ht="14" x14ac:dyDescent="0.3">
      <c r="A19" s="57">
        <f t="shared" si="0"/>
        <v>19</v>
      </c>
      <c r="B19" s="31"/>
      <c r="C19" s="35">
        <v>800</v>
      </c>
      <c r="D19" s="36">
        <f t="shared" si="2"/>
        <v>150.5</v>
      </c>
      <c r="E19" s="36">
        <f t="shared" si="3"/>
        <v>112.18</v>
      </c>
      <c r="F19" s="36">
        <f t="shared" si="4"/>
        <v>262.68</v>
      </c>
      <c r="G19" s="36"/>
      <c r="H19" s="36">
        <f t="shared" si="5"/>
        <v>157.35</v>
      </c>
      <c r="I19" s="36">
        <f t="shared" si="6"/>
        <v>112.18</v>
      </c>
      <c r="J19" s="36">
        <f t="shared" si="7"/>
        <v>269.52999999999997</v>
      </c>
      <c r="K19" s="37"/>
      <c r="L19" s="36">
        <f t="shared" si="8"/>
        <v>6.8499999999999659</v>
      </c>
      <c r="M19" s="39">
        <f t="shared" si="9"/>
        <v>2.60773564793664E-2</v>
      </c>
      <c r="N19" s="39"/>
      <c r="O19" s="36">
        <f t="shared" si="10"/>
        <v>159.19999999999999</v>
      </c>
      <c r="P19" s="36">
        <f t="shared" si="1"/>
        <v>112.18</v>
      </c>
      <c r="Q19" s="36">
        <f t="shared" si="11"/>
        <v>271.38</v>
      </c>
      <c r="R19" s="36"/>
      <c r="S19" s="36">
        <f t="shared" si="12"/>
        <v>1.8500000000000227</v>
      </c>
      <c r="T19" s="39">
        <f t="shared" si="18"/>
        <v>6.8637999480578148E-3</v>
      </c>
      <c r="U19" s="23"/>
      <c r="V19" s="36">
        <f t="shared" si="13"/>
        <v>162.78</v>
      </c>
      <c r="W19" s="36">
        <f t="shared" si="14"/>
        <v>112.18</v>
      </c>
      <c r="X19" s="36">
        <f t="shared" si="15"/>
        <v>274.96000000000004</v>
      </c>
      <c r="Y19" s="36"/>
      <c r="Z19" s="36">
        <f>X19-Q19</f>
        <v>3.5800000000000409</v>
      </c>
      <c r="AA19" s="39">
        <f t="shared" si="17"/>
        <v>1.3191834328248364E-2</v>
      </c>
    </row>
    <row r="20" spans="1:27" ht="14" x14ac:dyDescent="0.3">
      <c r="A20" s="57">
        <f t="shared" si="0"/>
        <v>20</v>
      </c>
      <c r="B20" s="31"/>
      <c r="C20" s="35">
        <v>900</v>
      </c>
      <c r="D20" s="36">
        <f t="shared" si="2"/>
        <v>168.06</v>
      </c>
      <c r="E20" s="36">
        <f t="shared" si="3"/>
        <v>126.21</v>
      </c>
      <c r="F20" s="36">
        <f t="shared" si="4"/>
        <v>294.27</v>
      </c>
      <c r="G20" s="36"/>
      <c r="H20" s="36">
        <f t="shared" si="5"/>
        <v>175.77</v>
      </c>
      <c r="I20" s="36">
        <f t="shared" si="6"/>
        <v>126.21</v>
      </c>
      <c r="J20" s="36">
        <f t="shared" si="7"/>
        <v>301.98</v>
      </c>
      <c r="K20" s="37"/>
      <c r="L20" s="36">
        <f t="shared" si="8"/>
        <v>7.7100000000000364</v>
      </c>
      <c r="M20" s="39">
        <f t="shared" si="9"/>
        <v>2.6200428178203814E-2</v>
      </c>
      <c r="N20" s="39"/>
      <c r="O20" s="36">
        <f t="shared" si="10"/>
        <v>177.85</v>
      </c>
      <c r="P20" s="36">
        <f t="shared" si="1"/>
        <v>126.21</v>
      </c>
      <c r="Q20" s="36">
        <f t="shared" si="11"/>
        <v>304.06</v>
      </c>
      <c r="R20" s="36"/>
      <c r="S20" s="36">
        <f t="shared" si="12"/>
        <v>2.0799999999999841</v>
      </c>
      <c r="T20" s="39">
        <f t="shared" si="18"/>
        <v>6.8878733690972381E-3</v>
      </c>
      <c r="U20" s="23"/>
      <c r="V20" s="36">
        <f t="shared" si="13"/>
        <v>181.88</v>
      </c>
      <c r="W20" s="36">
        <f t="shared" si="14"/>
        <v>126.21</v>
      </c>
      <c r="X20" s="36">
        <f t="shared" si="15"/>
        <v>308.08999999999997</v>
      </c>
      <c r="Y20" s="36"/>
      <c r="Z20" s="36">
        <f t="shared" si="16"/>
        <v>4.0299999999999727</v>
      </c>
      <c r="AA20" s="39">
        <f t="shared" si="17"/>
        <v>1.3253963033611697E-2</v>
      </c>
    </row>
    <row r="21" spans="1:27" ht="14" x14ac:dyDescent="0.3">
      <c r="A21" s="57">
        <f t="shared" si="0"/>
        <v>21</v>
      </c>
      <c r="B21" s="31"/>
      <c r="C21" s="35">
        <v>1000</v>
      </c>
      <c r="D21" s="36">
        <f t="shared" si="2"/>
        <v>185.62</v>
      </c>
      <c r="E21" s="36">
        <f>ROUND($H$57*C21,2)</f>
        <v>140.22999999999999</v>
      </c>
      <c r="F21" s="36">
        <f t="shared" si="4"/>
        <v>325.85000000000002</v>
      </c>
      <c r="G21" s="36"/>
      <c r="H21" s="36">
        <f t="shared" si="5"/>
        <v>194.19</v>
      </c>
      <c r="I21" s="36">
        <f t="shared" si="6"/>
        <v>140.22999999999999</v>
      </c>
      <c r="J21" s="36">
        <f t="shared" si="7"/>
        <v>334.41999999999996</v>
      </c>
      <c r="K21" s="37"/>
      <c r="L21" s="36">
        <f t="shared" si="8"/>
        <v>8.5699999999999363</v>
      </c>
      <c r="M21" s="39">
        <f t="shared" si="9"/>
        <v>2.6300444990025887E-2</v>
      </c>
      <c r="N21" s="39"/>
      <c r="O21" s="36">
        <f t="shared" si="10"/>
        <v>196.5</v>
      </c>
      <c r="P21" s="36">
        <f t="shared" si="1"/>
        <v>140.22999999999999</v>
      </c>
      <c r="Q21" s="36">
        <f t="shared" si="11"/>
        <v>336.73</v>
      </c>
      <c r="R21" s="36"/>
      <c r="S21" s="36">
        <f t="shared" si="12"/>
        <v>2.3100000000000591</v>
      </c>
      <c r="T21" s="39">
        <f t="shared" si="18"/>
        <v>6.9074816099517359E-3</v>
      </c>
      <c r="U21" s="23"/>
      <c r="V21" s="36">
        <f t="shared" si="13"/>
        <v>200.98</v>
      </c>
      <c r="W21" s="36">
        <f t="shared" si="14"/>
        <v>140.22999999999999</v>
      </c>
      <c r="X21" s="36">
        <f t="shared" si="15"/>
        <v>341.21</v>
      </c>
      <c r="Y21" s="36"/>
      <c r="Z21" s="36">
        <f t="shared" si="16"/>
        <v>4.4799999999999613</v>
      </c>
      <c r="AA21" s="39">
        <f t="shared" si="17"/>
        <v>1.3304427879903664E-2</v>
      </c>
    </row>
    <row r="22" spans="1:27" ht="14" x14ac:dyDescent="0.3">
      <c r="A22" s="57">
        <f t="shared" si="0"/>
        <v>22</v>
      </c>
      <c r="B22" s="31"/>
      <c r="C22" s="35">
        <v>1250</v>
      </c>
      <c r="D22" s="36">
        <f t="shared" si="2"/>
        <v>229.53</v>
      </c>
      <c r="E22" s="36">
        <f t="shared" si="3"/>
        <v>175.29</v>
      </c>
      <c r="F22" s="36">
        <f t="shared" si="4"/>
        <v>404.82</v>
      </c>
      <c r="G22" s="36"/>
      <c r="H22" s="36">
        <f t="shared" si="5"/>
        <v>240.24</v>
      </c>
      <c r="I22" s="36">
        <f t="shared" si="6"/>
        <v>175.29</v>
      </c>
      <c r="J22" s="36">
        <f t="shared" si="7"/>
        <v>415.53</v>
      </c>
      <c r="K22" s="37"/>
      <c r="L22" s="36">
        <f t="shared" si="8"/>
        <v>10.70999999999998</v>
      </c>
      <c r="M22" s="39">
        <f t="shared" si="9"/>
        <v>2.645620275678074E-2</v>
      </c>
      <c r="N22" s="39"/>
      <c r="O22" s="36">
        <f t="shared" si="10"/>
        <v>243.13</v>
      </c>
      <c r="P22" s="36">
        <f t="shared" si="1"/>
        <v>175.29</v>
      </c>
      <c r="Q22" s="36">
        <f t="shared" si="11"/>
        <v>418.41999999999996</v>
      </c>
      <c r="R22" s="36"/>
      <c r="S22" s="36">
        <f>+Q22-J22</f>
        <v>2.8899999999999864</v>
      </c>
      <c r="T22" s="39">
        <f t="shared" si="18"/>
        <v>6.9549731667989953E-3</v>
      </c>
      <c r="U22" s="23"/>
      <c r="V22" s="36">
        <f>ROUND(SUM($L$31:$L$56)*C22,2)+L$30</f>
        <v>248.73</v>
      </c>
      <c r="W22" s="36">
        <f t="shared" si="14"/>
        <v>175.29</v>
      </c>
      <c r="X22" s="36">
        <f t="shared" si="15"/>
        <v>424.02</v>
      </c>
      <c r="Y22" s="36"/>
      <c r="Z22" s="36">
        <f t="shared" si="16"/>
        <v>5.6000000000000227</v>
      </c>
      <c r="AA22" s="39">
        <f t="shared" si="17"/>
        <v>1.3383681468381108E-2</v>
      </c>
    </row>
    <row r="23" spans="1:27" ht="14" x14ac:dyDescent="0.3">
      <c r="A23" s="57">
        <f t="shared" si="0"/>
        <v>23</v>
      </c>
      <c r="B23" s="31"/>
      <c r="C23" s="35">
        <v>1500</v>
      </c>
      <c r="D23" s="36">
        <f t="shared" si="2"/>
        <v>273.43</v>
      </c>
      <c r="E23" s="36">
        <f t="shared" si="3"/>
        <v>210.35</v>
      </c>
      <c r="F23" s="36">
        <f t="shared" si="4"/>
        <v>483.78</v>
      </c>
      <c r="G23" s="36"/>
      <c r="H23" s="36">
        <f t="shared" si="5"/>
        <v>286.29000000000002</v>
      </c>
      <c r="I23" s="36">
        <f t="shared" si="6"/>
        <v>210.35</v>
      </c>
      <c r="J23" s="36">
        <f t="shared" si="7"/>
        <v>496.64</v>
      </c>
      <c r="K23" s="37"/>
      <c r="L23" s="36">
        <f t="shared" si="8"/>
        <v>12.860000000000014</v>
      </c>
      <c r="M23" s="39">
        <f t="shared" si="9"/>
        <v>2.6582330811525931E-2</v>
      </c>
      <c r="N23" s="39"/>
      <c r="O23" s="36">
        <f t="shared" si="10"/>
        <v>289.75</v>
      </c>
      <c r="P23" s="36">
        <f t="shared" si="1"/>
        <v>210.35</v>
      </c>
      <c r="Q23" s="36">
        <f t="shared" si="11"/>
        <v>500.1</v>
      </c>
      <c r="R23" s="36"/>
      <c r="S23" s="36">
        <f t="shared" si="12"/>
        <v>3.4600000000000364</v>
      </c>
      <c r="T23" s="39">
        <f t="shared" si="18"/>
        <v>6.9668170103093516E-3</v>
      </c>
      <c r="U23" s="23"/>
      <c r="V23" s="36">
        <f t="shared" si="13"/>
        <v>296.47000000000003</v>
      </c>
      <c r="W23" s="36">
        <f t="shared" si="14"/>
        <v>210.35</v>
      </c>
      <c r="X23" s="36">
        <f t="shared" si="15"/>
        <v>506.82000000000005</v>
      </c>
      <c r="Y23" s="36"/>
      <c r="Z23" s="36">
        <f t="shared" si="16"/>
        <v>6.7200000000000273</v>
      </c>
      <c r="AA23" s="39">
        <f t="shared" si="17"/>
        <v>1.3437312537492556E-2</v>
      </c>
    </row>
    <row r="24" spans="1:27" ht="14" x14ac:dyDescent="0.3">
      <c r="A24" s="57">
        <f t="shared" si="0"/>
        <v>24</v>
      </c>
      <c r="B24" s="31"/>
      <c r="C24" s="35">
        <v>2000</v>
      </c>
      <c r="D24" s="36">
        <f t="shared" si="2"/>
        <v>361.24</v>
      </c>
      <c r="E24" s="36">
        <f t="shared" si="3"/>
        <v>280.45999999999998</v>
      </c>
      <c r="F24" s="36">
        <f t="shared" si="4"/>
        <v>641.70000000000005</v>
      </c>
      <c r="G24" s="36"/>
      <c r="H24" s="36">
        <f t="shared" si="5"/>
        <v>378.38</v>
      </c>
      <c r="I24" s="36">
        <f t="shared" si="6"/>
        <v>280.45999999999998</v>
      </c>
      <c r="J24" s="36">
        <f t="shared" si="7"/>
        <v>658.83999999999992</v>
      </c>
      <c r="K24" s="37"/>
      <c r="L24" s="36">
        <f t="shared" si="8"/>
        <v>17.139999999999873</v>
      </c>
      <c r="M24" s="39">
        <f t="shared" si="9"/>
        <v>2.6710300763596494E-2</v>
      </c>
      <c r="N24" s="39"/>
      <c r="O24" s="36">
        <f>ROUND(SUM($J$31:$J$56)*C24,2)+J$30</f>
        <v>383</v>
      </c>
      <c r="P24" s="36">
        <f t="shared" si="1"/>
        <v>280.45999999999998</v>
      </c>
      <c r="Q24" s="36">
        <f t="shared" si="11"/>
        <v>663.46</v>
      </c>
      <c r="R24" s="36"/>
      <c r="S24" s="36">
        <f t="shared" si="12"/>
        <v>4.6200000000001182</v>
      </c>
      <c r="T24" s="39">
        <f t="shared" si="18"/>
        <v>7.0123246918828829E-3</v>
      </c>
      <c r="U24" s="23"/>
      <c r="V24" s="36">
        <f t="shared" si="13"/>
        <v>391.96</v>
      </c>
      <c r="W24" s="36">
        <f t="shared" si="14"/>
        <v>280.45999999999998</v>
      </c>
      <c r="X24" s="36">
        <f t="shared" si="15"/>
        <v>672.42</v>
      </c>
      <c r="Y24" s="36"/>
      <c r="Z24" s="36">
        <f t="shared" si="16"/>
        <v>8.9599999999999227</v>
      </c>
      <c r="AA24" s="39">
        <f t="shared" si="17"/>
        <v>1.3504958852078381E-2</v>
      </c>
    </row>
    <row r="25" spans="1:27" ht="14" x14ac:dyDescent="0.3">
      <c r="A25" s="57">
        <f t="shared" si="0"/>
        <v>25</v>
      </c>
      <c r="B25" s="31" t="s">
        <v>52</v>
      </c>
      <c r="C25" s="35">
        <v>545</v>
      </c>
      <c r="D25" s="36">
        <f t="shared" si="2"/>
        <v>105.71</v>
      </c>
      <c r="E25" s="36">
        <f t="shared" si="3"/>
        <v>76.430000000000007</v>
      </c>
      <c r="F25" s="36">
        <f t="shared" si="4"/>
        <v>182.14</v>
      </c>
      <c r="G25" s="36"/>
      <c r="H25" s="36">
        <f t="shared" si="5"/>
        <v>110.38</v>
      </c>
      <c r="I25" s="36">
        <f t="shared" si="6"/>
        <v>76.430000000000007</v>
      </c>
      <c r="J25" s="36">
        <f t="shared" si="7"/>
        <v>186.81</v>
      </c>
      <c r="K25" s="37"/>
      <c r="L25" s="36">
        <f t="shared" si="8"/>
        <v>4.6700000000000159</v>
      </c>
      <c r="M25" s="39">
        <f t="shared" si="9"/>
        <v>2.5639617876358933E-2</v>
      </c>
      <c r="N25" s="39"/>
      <c r="O25" s="36">
        <f t="shared" si="10"/>
        <v>111.64</v>
      </c>
      <c r="P25" s="36">
        <f t="shared" si="1"/>
        <v>76.430000000000007</v>
      </c>
      <c r="Q25" s="36">
        <f t="shared" si="11"/>
        <v>188.07</v>
      </c>
      <c r="R25" s="36"/>
      <c r="S25" s="36">
        <f t="shared" si="12"/>
        <v>1.2599999999999909</v>
      </c>
      <c r="T25" s="39">
        <f t="shared" si="18"/>
        <v>6.7448209410630637E-3</v>
      </c>
      <c r="U25" s="23"/>
      <c r="V25" s="36">
        <f t="shared" si="13"/>
        <v>114.08</v>
      </c>
      <c r="W25" s="36">
        <f t="shared" si="14"/>
        <v>76.430000000000007</v>
      </c>
      <c r="X25" s="36">
        <f t="shared" si="15"/>
        <v>190.51</v>
      </c>
      <c r="Y25" s="36"/>
      <c r="Z25" s="36">
        <f t="shared" si="16"/>
        <v>2.4399999999999977</v>
      </c>
      <c r="AA25" s="39">
        <f t="shared" si="17"/>
        <v>1.297389269952676E-2</v>
      </c>
    </row>
    <row r="26" spans="1:27" ht="14" x14ac:dyDescent="0.3">
      <c r="A26" s="57">
        <f t="shared" si="0"/>
        <v>26</v>
      </c>
      <c r="B26" s="31"/>
      <c r="C26" s="35"/>
      <c r="D26" s="36"/>
      <c r="E26" s="36"/>
      <c r="F26" s="36"/>
      <c r="G26" s="37"/>
      <c r="H26" s="36"/>
      <c r="I26" s="36"/>
      <c r="J26" s="36"/>
      <c r="K26" s="37"/>
      <c r="L26" s="36"/>
      <c r="M26" s="39"/>
      <c r="N26" s="39"/>
      <c r="O26" s="39"/>
      <c r="P26" s="39"/>
      <c r="Q26" s="39"/>
      <c r="R26" s="39"/>
      <c r="S26" s="39"/>
      <c r="T26" s="39"/>
      <c r="U26" s="39"/>
      <c r="V26" s="39"/>
      <c r="X26" s="40"/>
    </row>
    <row r="27" spans="1:27" ht="14" x14ac:dyDescent="0.3">
      <c r="A27" s="57">
        <f t="shared" si="0"/>
        <v>27</v>
      </c>
      <c r="B27" s="31"/>
      <c r="C27" s="41"/>
      <c r="D27" s="42"/>
      <c r="E27" s="42"/>
      <c r="F27" s="42"/>
      <c r="G27" s="43"/>
      <c r="H27" s="42"/>
      <c r="I27" s="42"/>
      <c r="J27" s="42"/>
      <c r="K27" s="43"/>
      <c r="L27" s="43"/>
      <c r="X27" s="40"/>
    </row>
    <row r="28" spans="1:27" ht="14" x14ac:dyDescent="0.3">
      <c r="A28" s="57">
        <f t="shared" si="0"/>
        <v>28</v>
      </c>
      <c r="B28" s="31"/>
      <c r="C28" s="44" t="s">
        <v>53</v>
      </c>
      <c r="D28" s="37"/>
      <c r="E28" s="37"/>
      <c r="G28" s="45"/>
      <c r="H28" s="45">
        <f>'EMA R1'!H28</f>
        <v>2024</v>
      </c>
      <c r="I28" s="45">
        <f>'EMA R1'!I28</f>
        <v>2025</v>
      </c>
      <c r="J28" s="45">
        <f>'EMA R1'!J28</f>
        <v>2026</v>
      </c>
      <c r="K28" s="45"/>
      <c r="L28" s="45">
        <f>'EMA R1'!L28</f>
        <v>2027</v>
      </c>
      <c r="M28" s="59" t="str">
        <f>'EMA R1'!M28</f>
        <v>2025 v 2024</v>
      </c>
      <c r="N28" s="59"/>
      <c r="O28" s="59" t="str">
        <f>'EMA R1'!O28</f>
        <v>2026 v 2025</v>
      </c>
      <c r="P28" s="59" t="str">
        <f>'EMA R1'!P28</f>
        <v>2027 v 2026</v>
      </c>
    </row>
    <row r="29" spans="1:27" ht="14" x14ac:dyDescent="0.3">
      <c r="A29" s="57">
        <f t="shared" si="0"/>
        <v>29</v>
      </c>
      <c r="B29" s="31"/>
      <c r="C29" s="44" t="s">
        <v>53</v>
      </c>
      <c r="D29" s="37"/>
      <c r="E29" s="37"/>
      <c r="G29" s="60"/>
      <c r="H29" s="47" t="str">
        <f>+'EMA R1'!H29</f>
        <v>Rates</v>
      </c>
      <c r="I29" s="47" t="s">
        <v>57</v>
      </c>
      <c r="J29" s="47" t="s">
        <v>57</v>
      </c>
      <c r="K29" s="37"/>
      <c r="L29" s="47" t="s">
        <v>57</v>
      </c>
      <c r="M29" s="48" t="s">
        <v>51</v>
      </c>
      <c r="N29" s="57"/>
      <c r="O29" s="48" t="s">
        <v>51</v>
      </c>
      <c r="P29" s="48" t="s">
        <v>51</v>
      </c>
    </row>
    <row r="30" spans="1:27" ht="14" x14ac:dyDescent="0.3">
      <c r="A30" s="57">
        <f t="shared" si="0"/>
        <v>30</v>
      </c>
      <c r="B30" s="31"/>
      <c r="C30" s="28" t="str">
        <f>+'EMA R1'!C30</f>
        <v>Customer Charge</v>
      </c>
      <c r="D30" s="37"/>
      <c r="E30" s="37"/>
      <c r="G30" s="49"/>
      <c r="H30" s="49">
        <v>10</v>
      </c>
      <c r="I30" s="49">
        <f t="shared" ref="I30:I57" si="19">+H30</f>
        <v>10</v>
      </c>
      <c r="J30" s="49">
        <f t="shared" ref="J30:J57" si="20">H30</f>
        <v>10</v>
      </c>
      <c r="K30" s="37"/>
      <c r="L30" s="49">
        <f t="shared" ref="L30:L57" si="21">H30</f>
        <v>10</v>
      </c>
      <c r="M30" s="50">
        <f t="shared" ref="M30:M57" si="22">+I30-H30</f>
        <v>0</v>
      </c>
      <c r="N30" s="50"/>
      <c r="O30" s="50">
        <f t="shared" ref="O30:O57" si="23">+J30-I30</f>
        <v>0</v>
      </c>
      <c r="P30" s="50">
        <f t="shared" ref="P30:P57" si="24">+L30-J30</f>
        <v>0</v>
      </c>
      <c r="Q30" s="51" t="s">
        <v>59</v>
      </c>
    </row>
    <row r="31" spans="1:27" ht="14" x14ac:dyDescent="0.3">
      <c r="A31" s="57">
        <f t="shared" si="0"/>
        <v>31</v>
      </c>
      <c r="B31" s="31"/>
      <c r="C31" s="28" t="str">
        <f>+'EMA R1'!C31</f>
        <v>Distribution Energy</v>
      </c>
      <c r="D31" s="37"/>
      <c r="E31" s="37"/>
      <c r="G31" s="53"/>
      <c r="H31" s="53">
        <v>5.9089999999999997E-2</v>
      </c>
      <c r="I31" s="53">
        <f t="shared" si="19"/>
        <v>5.9089999999999997E-2</v>
      </c>
      <c r="J31" s="53">
        <f t="shared" si="20"/>
        <v>5.9089999999999997E-2</v>
      </c>
      <c r="K31" s="37"/>
      <c r="L31" s="53">
        <f t="shared" si="21"/>
        <v>5.9089999999999997E-2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51" t="s">
        <v>59</v>
      </c>
    </row>
    <row r="32" spans="1:27" ht="14" x14ac:dyDescent="0.3">
      <c r="A32" s="57">
        <f t="shared" si="0"/>
        <v>32</v>
      </c>
      <c r="B32" s="31"/>
      <c r="C32" s="52" t="s">
        <v>61</v>
      </c>
      <c r="D32" s="37"/>
      <c r="E32" s="37"/>
      <c r="G32" s="53"/>
      <c r="H32" s="53">
        <v>1.01E-3</v>
      </c>
      <c r="I32" s="53">
        <f t="shared" si="19"/>
        <v>1.01E-3</v>
      </c>
      <c r="J32" s="53">
        <f t="shared" si="20"/>
        <v>1.01E-3</v>
      </c>
      <c r="K32" s="37"/>
      <c r="L32" s="53">
        <f t="shared" si="21"/>
        <v>1.01E-3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51" t="s">
        <v>62</v>
      </c>
    </row>
    <row r="33" spans="1:17" ht="14" x14ac:dyDescent="0.3">
      <c r="A33" s="57">
        <f t="shared" si="0"/>
        <v>33</v>
      </c>
      <c r="B33" s="31"/>
      <c r="C33" s="28" t="str">
        <f>+'EMA R1'!C33</f>
        <v>Revenue Decoupling</v>
      </c>
      <c r="D33" s="37"/>
      <c r="E33" s="37"/>
      <c r="G33" s="53"/>
      <c r="H33" s="53">
        <v>6.0000000000000002E-5</v>
      </c>
      <c r="I33" s="53">
        <f t="shared" si="19"/>
        <v>6.0000000000000002E-5</v>
      </c>
      <c r="J33" s="53">
        <f t="shared" si="20"/>
        <v>6.0000000000000002E-5</v>
      </c>
      <c r="K33" s="37"/>
      <c r="L33" s="53">
        <f t="shared" si="21"/>
        <v>6.0000000000000002E-5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51" t="s">
        <v>64</v>
      </c>
    </row>
    <row r="34" spans="1:17" ht="14" x14ac:dyDescent="0.3">
      <c r="A34" s="57">
        <f t="shared" si="0"/>
        <v>34</v>
      </c>
      <c r="B34" s="31"/>
      <c r="C34" s="28" t="str">
        <f>+'EMA R1'!C34</f>
        <v>Distributed Solar Charge</v>
      </c>
      <c r="D34" s="37"/>
      <c r="E34" s="37"/>
      <c r="G34" s="53"/>
      <c r="H34" s="53">
        <v>8.0000000000000002E-3</v>
      </c>
      <c r="I34" s="53">
        <f t="shared" si="19"/>
        <v>8.0000000000000002E-3</v>
      </c>
      <c r="J34" s="53">
        <f t="shared" si="20"/>
        <v>8.0000000000000002E-3</v>
      </c>
      <c r="K34" s="37"/>
      <c r="L34" s="53">
        <f t="shared" si="21"/>
        <v>8.0000000000000002E-3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51" t="s">
        <v>66</v>
      </c>
    </row>
    <row r="35" spans="1:17" ht="14" x14ac:dyDescent="0.3">
      <c r="A35" s="57">
        <f t="shared" si="0"/>
        <v>35</v>
      </c>
      <c r="B35" s="31"/>
      <c r="C35" s="28" t="str">
        <f>+'EMA R1'!C35</f>
        <v>Residential Assistance Adjustment Factor</v>
      </c>
      <c r="D35" s="37"/>
      <c r="E35" s="37"/>
      <c r="G35" s="53"/>
      <c r="H35" s="53">
        <v>8.1600000000000006E-3</v>
      </c>
      <c r="I35" s="53">
        <f t="shared" si="19"/>
        <v>8.1600000000000006E-3</v>
      </c>
      <c r="J35" s="53">
        <f t="shared" si="20"/>
        <v>8.1600000000000006E-3</v>
      </c>
      <c r="K35" s="37"/>
      <c r="L35" s="53">
        <f t="shared" si="21"/>
        <v>8.1600000000000006E-3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51" t="s">
        <v>68</v>
      </c>
    </row>
    <row r="36" spans="1:17" ht="14" x14ac:dyDescent="0.3">
      <c r="A36" s="57">
        <f t="shared" si="0"/>
        <v>36</v>
      </c>
      <c r="B36" s="31"/>
      <c r="C36" s="28" t="str">
        <f>+'EMA R1'!C36</f>
        <v>Pension Adjustment Factor</v>
      </c>
      <c r="D36" s="37"/>
      <c r="E36" s="37"/>
      <c r="G36" s="53"/>
      <c r="H36" s="53">
        <v>8.5999999999999998E-4</v>
      </c>
      <c r="I36" s="53">
        <f t="shared" si="19"/>
        <v>8.5999999999999998E-4</v>
      </c>
      <c r="J36" s="53">
        <f t="shared" si="20"/>
        <v>8.5999999999999998E-4</v>
      </c>
      <c r="K36" s="37"/>
      <c r="L36" s="53">
        <f t="shared" si="21"/>
        <v>8.5999999999999998E-4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51" t="s">
        <v>70</v>
      </c>
    </row>
    <row r="37" spans="1:17" ht="14" x14ac:dyDescent="0.3">
      <c r="A37" s="57">
        <f t="shared" si="0"/>
        <v>37</v>
      </c>
      <c r="B37" s="31"/>
      <c r="C37" s="28" t="str">
        <f>+'EMA R1'!C37</f>
        <v>Net Metering Recovery Surcharge</v>
      </c>
      <c r="D37" s="37"/>
      <c r="E37" s="37"/>
      <c r="G37" s="53"/>
      <c r="H37" s="53">
        <v>1.6219999999999998E-2</v>
      </c>
      <c r="I37" s="53">
        <f t="shared" si="19"/>
        <v>1.6219999999999998E-2</v>
      </c>
      <c r="J37" s="53">
        <f t="shared" si="20"/>
        <v>1.6219999999999998E-2</v>
      </c>
      <c r="K37" s="37"/>
      <c r="L37" s="53">
        <f t="shared" si="21"/>
        <v>1.6219999999999998E-2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51" t="s">
        <v>72</v>
      </c>
    </row>
    <row r="38" spans="1:17" ht="14" x14ac:dyDescent="0.3">
      <c r="A38" s="57">
        <f t="shared" si="0"/>
        <v>38</v>
      </c>
      <c r="B38" s="31"/>
      <c r="C38" s="28" t="str">
        <f>+'EMA R1'!C38</f>
        <v>Long Term Renewable Contract Adjustment</v>
      </c>
      <c r="D38" s="37"/>
      <c r="E38" s="37"/>
      <c r="G38" s="53"/>
      <c r="H38" s="53">
        <v>-1.9300000000000001E-3</v>
      </c>
      <c r="I38" s="53">
        <f t="shared" si="19"/>
        <v>-1.9300000000000001E-3</v>
      </c>
      <c r="J38" s="53">
        <f t="shared" si="20"/>
        <v>-1.9300000000000001E-3</v>
      </c>
      <c r="K38" s="37"/>
      <c r="L38" s="53">
        <f t="shared" si="21"/>
        <v>-1.9300000000000001E-3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51" t="s">
        <v>74</v>
      </c>
    </row>
    <row r="39" spans="1:17" ht="14" x14ac:dyDescent="0.3">
      <c r="A39" s="57">
        <f t="shared" si="0"/>
        <v>39</v>
      </c>
      <c r="B39" s="31"/>
      <c r="C39" s="28" t="str">
        <f>+'EMA R1'!C39</f>
        <v>AG Consulting Expense</v>
      </c>
      <c r="D39" s="37"/>
      <c r="E39" s="37"/>
      <c r="G39" s="53"/>
      <c r="H39" s="53">
        <v>5.0000000000000002E-5</v>
      </c>
      <c r="I39" s="53">
        <f t="shared" si="19"/>
        <v>5.0000000000000002E-5</v>
      </c>
      <c r="J39" s="53">
        <f t="shared" si="20"/>
        <v>5.0000000000000002E-5</v>
      </c>
      <c r="K39" s="37"/>
      <c r="L39" s="53">
        <f t="shared" si="21"/>
        <v>5.0000000000000002E-5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51" t="s">
        <v>76</v>
      </c>
    </row>
    <row r="40" spans="1:17" ht="14" x14ac:dyDescent="0.3">
      <c r="A40" s="57">
        <f t="shared" si="0"/>
        <v>40</v>
      </c>
      <c r="B40" s="31"/>
      <c r="C40" s="28" t="str">
        <f>+'EMA R1'!C40</f>
        <v>Storm Cost Recovery Adjustment Factor</v>
      </c>
      <c r="D40" s="37"/>
      <c r="E40" s="37"/>
      <c r="G40" s="53"/>
      <c r="H40" s="53">
        <v>6.6299999999999996E-3</v>
      </c>
      <c r="I40" s="53">
        <f t="shared" si="19"/>
        <v>6.6299999999999996E-3</v>
      </c>
      <c r="J40" s="53">
        <f t="shared" si="20"/>
        <v>6.6299999999999996E-3</v>
      </c>
      <c r="K40" s="37"/>
      <c r="L40" s="53">
        <f t="shared" si="21"/>
        <v>6.6299999999999996E-3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51" t="s">
        <v>78</v>
      </c>
    </row>
    <row r="41" spans="1:17" ht="14" x14ac:dyDescent="0.3">
      <c r="A41" s="57">
        <f t="shared" si="0"/>
        <v>41</v>
      </c>
      <c r="B41" s="31"/>
      <c r="C41" s="28" t="str">
        <f>+'EMA R1'!C41</f>
        <v>Storm Reserve Adjustment</v>
      </c>
      <c r="D41" s="37"/>
      <c r="E41" s="37"/>
      <c r="G41" s="53"/>
      <c r="H41" s="53">
        <v>0</v>
      </c>
      <c r="I41" s="53">
        <f t="shared" si="19"/>
        <v>0</v>
      </c>
      <c r="J41" s="53">
        <f t="shared" si="20"/>
        <v>0</v>
      </c>
      <c r="K41" s="37"/>
      <c r="L41" s="53">
        <f t="shared" si="21"/>
        <v>0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51" t="s">
        <v>80</v>
      </c>
    </row>
    <row r="42" spans="1:17" ht="14" x14ac:dyDescent="0.3">
      <c r="A42" s="57">
        <f t="shared" si="0"/>
        <v>42</v>
      </c>
      <c r="B42" s="31"/>
      <c r="C42" s="28" t="str">
        <f>+'EMA R1'!C42</f>
        <v>Basic Service Cost True Up Factor</v>
      </c>
      <c r="D42" s="37"/>
      <c r="E42" s="37"/>
      <c r="G42" s="53"/>
      <c r="H42" s="53">
        <v>-4.6000000000000001E-4</v>
      </c>
      <c r="I42" s="53">
        <f t="shared" si="19"/>
        <v>-4.6000000000000001E-4</v>
      </c>
      <c r="J42" s="53">
        <f t="shared" si="20"/>
        <v>-4.6000000000000001E-4</v>
      </c>
      <c r="K42" s="37"/>
      <c r="L42" s="53">
        <f t="shared" si="21"/>
        <v>-4.6000000000000001E-4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51" t="s">
        <v>82</v>
      </c>
    </row>
    <row r="43" spans="1:17" ht="14" x14ac:dyDescent="0.3">
      <c r="A43" s="57">
        <f t="shared" si="0"/>
        <v>43</v>
      </c>
      <c r="B43" s="31"/>
      <c r="C43" s="28" t="str">
        <f>+'EMA R1'!C43</f>
        <v>Solar Program Cost Adjustment Factor</v>
      </c>
      <c r="D43" s="37"/>
      <c r="E43" s="37"/>
      <c r="G43" s="53"/>
      <c r="H43" s="53">
        <v>2.0000000000000002E-5</v>
      </c>
      <c r="I43" s="53">
        <f t="shared" si="19"/>
        <v>2.0000000000000002E-5</v>
      </c>
      <c r="J43" s="53">
        <f t="shared" si="20"/>
        <v>2.0000000000000002E-5</v>
      </c>
      <c r="K43" s="37"/>
      <c r="L43" s="53">
        <f t="shared" si="21"/>
        <v>2.0000000000000002E-5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51" t="s">
        <v>84</v>
      </c>
    </row>
    <row r="44" spans="1:17" ht="14" x14ac:dyDescent="0.3">
      <c r="A44" s="57">
        <f t="shared" si="0"/>
        <v>44</v>
      </c>
      <c r="B44" s="31"/>
      <c r="C44" s="28" t="str">
        <f>+'EMA R1'!C44</f>
        <v>Solar Expansion Cost Recovery Factor</v>
      </c>
      <c r="D44" s="37"/>
      <c r="E44" s="37"/>
      <c r="G44" s="53"/>
      <c r="H44" s="53">
        <v>-5.1000000000000004E-4</v>
      </c>
      <c r="I44" s="53">
        <f t="shared" si="19"/>
        <v>-5.1000000000000004E-4</v>
      </c>
      <c r="J44" s="53">
        <f t="shared" si="20"/>
        <v>-5.1000000000000004E-4</v>
      </c>
      <c r="K44" s="37"/>
      <c r="L44" s="53">
        <f t="shared" si="21"/>
        <v>-5.1000000000000004E-4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51" t="s">
        <v>86</v>
      </c>
    </row>
    <row r="45" spans="1:17" ht="14" x14ac:dyDescent="0.3">
      <c r="A45" s="57">
        <f t="shared" si="0"/>
        <v>45</v>
      </c>
      <c r="B45" s="31"/>
      <c r="C45" s="28" t="str">
        <f>+'EMA R1'!C45</f>
        <v>Vegetation Management</v>
      </c>
      <c r="D45" s="37"/>
      <c r="E45" s="37"/>
      <c r="G45" s="53"/>
      <c r="H45" s="53">
        <v>1.9300000000000001E-3</v>
      </c>
      <c r="I45" s="53">
        <f t="shared" si="19"/>
        <v>1.9300000000000001E-3</v>
      </c>
      <c r="J45" s="53">
        <f t="shared" si="20"/>
        <v>1.9300000000000001E-3</v>
      </c>
      <c r="K45" s="37"/>
      <c r="L45" s="53">
        <f t="shared" si="21"/>
        <v>1.9300000000000001E-3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51" t="s">
        <v>88</v>
      </c>
    </row>
    <row r="46" spans="1:17" ht="14" x14ac:dyDescent="0.3">
      <c r="A46" s="57">
        <f t="shared" si="0"/>
        <v>46</v>
      </c>
      <c r="B46" s="31"/>
      <c r="C46" s="28" t="str">
        <f>+'EMA R1'!C46</f>
        <v>Tax Act Credit Factor</v>
      </c>
      <c r="D46" s="37"/>
      <c r="E46" s="37"/>
      <c r="G46" s="53"/>
      <c r="H46" s="53">
        <v>-1.8E-3</v>
      </c>
      <c r="I46" s="53">
        <f t="shared" si="19"/>
        <v>-1.8E-3</v>
      </c>
      <c r="J46" s="53">
        <f t="shared" si="20"/>
        <v>-1.8E-3</v>
      </c>
      <c r="K46" s="37"/>
      <c r="L46" s="53">
        <f t="shared" si="21"/>
        <v>-1.8E-3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51" t="s">
        <v>90</v>
      </c>
    </row>
    <row r="47" spans="1:17" ht="14" x14ac:dyDescent="0.3">
      <c r="A47" s="57">
        <f t="shared" si="0"/>
        <v>47</v>
      </c>
      <c r="B47" s="31"/>
      <c r="C47" s="28" t="str">
        <f>+'EMA R1'!C47</f>
        <v>Grid Modernization</v>
      </c>
      <c r="D47" s="37"/>
      <c r="E47" s="37"/>
      <c r="G47" s="53"/>
      <c r="H47" s="53">
        <v>2.2100000000000002E-3</v>
      </c>
      <c r="I47" s="53">
        <f t="shared" si="19"/>
        <v>2.2100000000000002E-3</v>
      </c>
      <c r="J47" s="53">
        <f t="shared" si="20"/>
        <v>2.2100000000000002E-3</v>
      </c>
      <c r="K47" s="37"/>
      <c r="L47" s="53">
        <f t="shared" si="21"/>
        <v>2.2100000000000002E-3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51" t="s">
        <v>92</v>
      </c>
    </row>
    <row r="48" spans="1:17" ht="14" x14ac:dyDescent="0.3">
      <c r="A48" s="57">
        <f t="shared" si="0"/>
        <v>48</v>
      </c>
      <c r="B48" s="31"/>
      <c r="C48" s="28" t="str">
        <f>+'EMA R1'!C48</f>
        <v>Advanced Metering Infrastructure</v>
      </c>
      <c r="D48" s="37"/>
      <c r="E48" s="37"/>
      <c r="G48" s="53"/>
      <c r="H48" s="53">
        <v>2.9399999999999999E-3</v>
      </c>
      <c r="I48" s="53">
        <f t="shared" si="19"/>
        <v>2.9399999999999999E-3</v>
      </c>
      <c r="J48" s="53">
        <f t="shared" si="20"/>
        <v>2.9399999999999999E-3</v>
      </c>
      <c r="K48" s="37"/>
      <c r="L48" s="53">
        <f t="shared" si="21"/>
        <v>2.9399999999999999E-3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51" t="s">
        <v>94</v>
      </c>
    </row>
    <row r="49" spans="1:24" ht="14" x14ac:dyDescent="0.3">
      <c r="A49" s="57">
        <f t="shared" si="0"/>
        <v>49</v>
      </c>
      <c r="B49" s="31"/>
      <c r="C49" s="28" t="str">
        <f>+'EMA R1'!C49</f>
        <v>Electronic Payment Recovery</v>
      </c>
      <c r="D49" s="37"/>
      <c r="E49" s="37"/>
      <c r="G49" s="53"/>
      <c r="H49" s="53">
        <v>0</v>
      </c>
      <c r="I49" s="53">
        <f t="shared" si="19"/>
        <v>0</v>
      </c>
      <c r="J49" s="53">
        <f t="shared" si="20"/>
        <v>0</v>
      </c>
      <c r="K49" s="37"/>
      <c r="L49" s="53">
        <f t="shared" si="21"/>
        <v>0</v>
      </c>
      <c r="M49" s="54">
        <f t="shared" si="22"/>
        <v>0</v>
      </c>
      <c r="N49" s="54"/>
      <c r="O49" s="54">
        <f t="shared" si="23"/>
        <v>0</v>
      </c>
      <c r="P49" s="54">
        <f t="shared" si="24"/>
        <v>0</v>
      </c>
      <c r="Q49" s="51" t="s">
        <v>96</v>
      </c>
    </row>
    <row r="50" spans="1:24" ht="14" x14ac:dyDescent="0.3">
      <c r="A50" s="57">
        <f t="shared" si="0"/>
        <v>50</v>
      </c>
      <c r="B50" s="31"/>
      <c r="C50" s="28" t="str">
        <f>+'EMA R1'!C50</f>
        <v>Provisional System Planning Factor</v>
      </c>
      <c r="D50" s="37"/>
      <c r="E50" s="37"/>
      <c r="G50" s="53"/>
      <c r="H50" s="53">
        <v>0</v>
      </c>
      <c r="I50" s="53">
        <f t="shared" si="19"/>
        <v>0</v>
      </c>
      <c r="J50" s="53">
        <f t="shared" si="20"/>
        <v>0</v>
      </c>
      <c r="K50" s="37"/>
      <c r="L50" s="53">
        <f t="shared" si="21"/>
        <v>0</v>
      </c>
      <c r="M50" s="54">
        <f t="shared" si="22"/>
        <v>0</v>
      </c>
      <c r="N50" s="54"/>
      <c r="O50" s="54">
        <f t="shared" si="23"/>
        <v>0</v>
      </c>
      <c r="P50" s="54">
        <f t="shared" si="24"/>
        <v>0</v>
      </c>
      <c r="Q50" s="51" t="s">
        <v>98</v>
      </c>
    </row>
    <row r="51" spans="1:24" ht="14" x14ac:dyDescent="0.3">
      <c r="A51" s="57">
        <f t="shared" si="0"/>
        <v>51</v>
      </c>
      <c r="B51" s="31"/>
      <c r="C51" s="28" t="str">
        <f>+'EMA R1'!C51</f>
        <v>Electric Vehicle Factor</v>
      </c>
      <c r="D51" s="37"/>
      <c r="E51" s="37"/>
      <c r="G51" s="53"/>
      <c r="H51" s="53">
        <v>1.3799999999999999E-3</v>
      </c>
      <c r="I51" s="53">
        <f t="shared" si="19"/>
        <v>1.3799999999999999E-3</v>
      </c>
      <c r="J51" s="53">
        <f t="shared" si="20"/>
        <v>1.3799999999999999E-3</v>
      </c>
      <c r="K51" s="37"/>
      <c r="L51" s="53">
        <f t="shared" si="21"/>
        <v>1.3799999999999999E-3</v>
      </c>
      <c r="M51" s="54">
        <f t="shared" si="22"/>
        <v>0</v>
      </c>
      <c r="N51" s="54"/>
      <c r="O51" s="54">
        <f t="shared" si="23"/>
        <v>0</v>
      </c>
      <c r="P51" s="54">
        <f t="shared" si="24"/>
        <v>0</v>
      </c>
      <c r="Q51" s="51" t="s">
        <v>100</v>
      </c>
    </row>
    <row r="52" spans="1:24" ht="14" x14ac:dyDescent="0.3">
      <c r="A52" s="57">
        <f t="shared" si="0"/>
        <v>52</v>
      </c>
      <c r="B52" s="31"/>
      <c r="C52" s="28" t="str">
        <f>+'EMA R1'!C52</f>
        <v>Transition</v>
      </c>
      <c r="D52" s="37"/>
      <c r="E52" s="37"/>
      <c r="G52" s="53"/>
      <c r="H52" s="53">
        <v>-3.6999999999999999E-4</v>
      </c>
      <c r="I52" s="53">
        <f t="shared" si="19"/>
        <v>-3.6999999999999999E-4</v>
      </c>
      <c r="J52" s="53">
        <f t="shared" si="20"/>
        <v>-3.6999999999999999E-4</v>
      </c>
      <c r="K52" s="37"/>
      <c r="L52" s="53">
        <f t="shared" si="21"/>
        <v>-3.6999999999999999E-4</v>
      </c>
      <c r="M52" s="54">
        <f t="shared" si="22"/>
        <v>0</v>
      </c>
      <c r="N52" s="54"/>
      <c r="O52" s="54">
        <f t="shared" si="23"/>
        <v>0</v>
      </c>
      <c r="P52" s="54">
        <f t="shared" si="24"/>
        <v>0</v>
      </c>
      <c r="Q52" s="51" t="s">
        <v>102</v>
      </c>
    </row>
    <row r="53" spans="1:24" ht="14" x14ac:dyDescent="0.3">
      <c r="A53" s="57">
        <f t="shared" si="0"/>
        <v>53</v>
      </c>
      <c r="B53" s="31"/>
      <c r="C53" s="28" t="str">
        <f>+'EMA R1'!C53</f>
        <v>Transmission Energy</v>
      </c>
      <c r="D53" s="37"/>
      <c r="E53" s="37"/>
      <c r="G53" s="53"/>
      <c r="H53" s="53">
        <v>4.052E-2</v>
      </c>
      <c r="I53" s="53">
        <f t="shared" si="19"/>
        <v>4.052E-2</v>
      </c>
      <c r="J53" s="53">
        <f t="shared" si="20"/>
        <v>4.052E-2</v>
      </c>
      <c r="K53" s="37"/>
      <c r="L53" s="53">
        <f t="shared" si="21"/>
        <v>4.052E-2</v>
      </c>
      <c r="M53" s="54">
        <f t="shared" si="22"/>
        <v>0</v>
      </c>
      <c r="N53" s="54"/>
      <c r="O53" s="54">
        <f t="shared" si="23"/>
        <v>0</v>
      </c>
      <c r="P53" s="54">
        <f t="shared" si="24"/>
        <v>0</v>
      </c>
      <c r="Q53" s="51" t="s">
        <v>104</v>
      </c>
    </row>
    <row r="54" spans="1:24" ht="14" x14ac:dyDescent="0.3">
      <c r="A54" s="57">
        <f t="shared" si="0"/>
        <v>54</v>
      </c>
      <c r="B54" s="31"/>
      <c r="C54" s="28" t="str">
        <f>+'EMA R1'!C54</f>
        <v>Energy Efficiency Reconciliation Factor</v>
      </c>
      <c r="D54" s="37"/>
      <c r="E54" s="37"/>
      <c r="G54" s="53"/>
      <c r="H54" s="53">
        <v>2.861E-2</v>
      </c>
      <c r="I54" s="53">
        <v>3.7179999999999998E-2</v>
      </c>
      <c r="J54" s="53">
        <v>3.9489999999999997E-2</v>
      </c>
      <c r="K54" s="53"/>
      <c r="L54" s="53">
        <v>4.3970000000000002E-2</v>
      </c>
      <c r="M54" s="54">
        <f t="shared" si="22"/>
        <v>8.5699999999999978E-3</v>
      </c>
      <c r="N54" s="54"/>
      <c r="O54" s="54">
        <f t="shared" si="23"/>
        <v>2.3099999999999996E-3</v>
      </c>
      <c r="P54" s="54">
        <f t="shared" si="24"/>
        <v>4.4800000000000048E-3</v>
      </c>
      <c r="Q54" s="51" t="s">
        <v>106</v>
      </c>
    </row>
    <row r="55" spans="1:24" ht="14" x14ac:dyDescent="0.3">
      <c r="A55" s="57">
        <f t="shared" si="0"/>
        <v>55</v>
      </c>
      <c r="B55" s="31"/>
      <c r="C55" s="28" t="str">
        <f>+'EMA R1'!C55</f>
        <v>System Benefits Charge</v>
      </c>
      <c r="D55" s="37"/>
      <c r="E55" s="37"/>
      <c r="G55" s="53"/>
      <c r="H55" s="53">
        <v>2.5000000000000001E-3</v>
      </c>
      <c r="I55" s="53">
        <f t="shared" si="19"/>
        <v>2.5000000000000001E-3</v>
      </c>
      <c r="J55" s="53">
        <f t="shared" si="20"/>
        <v>2.5000000000000001E-3</v>
      </c>
      <c r="K55" s="37"/>
      <c r="L55" s="53">
        <f t="shared" si="21"/>
        <v>2.5000000000000001E-3</v>
      </c>
      <c r="M55" s="54">
        <f t="shared" si="22"/>
        <v>0</v>
      </c>
      <c r="N55" s="54"/>
      <c r="O55" s="54">
        <f t="shared" si="23"/>
        <v>0</v>
      </c>
      <c r="P55" s="54">
        <f t="shared" si="24"/>
        <v>0</v>
      </c>
      <c r="Q55" s="51" t="s">
        <v>108</v>
      </c>
    </row>
    <row r="56" spans="1:24" ht="14" x14ac:dyDescent="0.3">
      <c r="A56" s="57">
        <f t="shared" si="0"/>
        <v>56</v>
      </c>
      <c r="B56" s="31"/>
      <c r="C56" s="28" t="str">
        <f>+'EMA R1'!C56</f>
        <v>Renewable Energy Charge</v>
      </c>
      <c r="D56" s="37"/>
      <c r="E56" s="37"/>
      <c r="G56" s="53"/>
      <c r="H56" s="53">
        <v>5.0000000000000001E-4</v>
      </c>
      <c r="I56" s="53">
        <f t="shared" si="19"/>
        <v>5.0000000000000001E-4</v>
      </c>
      <c r="J56" s="53">
        <f t="shared" si="20"/>
        <v>5.0000000000000001E-4</v>
      </c>
      <c r="K56" s="37"/>
      <c r="L56" s="53">
        <f t="shared" si="21"/>
        <v>5.0000000000000001E-4</v>
      </c>
      <c r="M56" s="54">
        <f t="shared" si="22"/>
        <v>0</v>
      </c>
      <c r="N56" s="54"/>
      <c r="O56" s="54">
        <f t="shared" si="23"/>
        <v>0</v>
      </c>
      <c r="P56" s="54">
        <f t="shared" si="24"/>
        <v>0</v>
      </c>
      <c r="Q56" s="51" t="s">
        <v>110</v>
      </c>
    </row>
    <row r="57" spans="1:24" ht="14" x14ac:dyDescent="0.3">
      <c r="A57" s="57">
        <f t="shared" si="0"/>
        <v>57</v>
      </c>
      <c r="B57" s="31"/>
      <c r="C57" s="28" t="str">
        <f>+'EMA R1'!C57</f>
        <v>Basic Service Charge</v>
      </c>
      <c r="D57" s="37"/>
      <c r="E57" s="37"/>
      <c r="G57" s="53"/>
      <c r="H57" s="53">
        <v>0.14022999999999999</v>
      </c>
      <c r="I57" s="53">
        <f t="shared" si="19"/>
        <v>0.14022999999999999</v>
      </c>
      <c r="J57" s="53">
        <f t="shared" si="20"/>
        <v>0.14022999999999999</v>
      </c>
      <c r="K57" s="37"/>
      <c r="L57" s="53">
        <f t="shared" si="21"/>
        <v>0.14022999999999999</v>
      </c>
      <c r="M57" s="54">
        <f t="shared" si="22"/>
        <v>0</v>
      </c>
      <c r="N57" s="54"/>
      <c r="O57" s="54">
        <f t="shared" si="23"/>
        <v>0</v>
      </c>
      <c r="P57" s="54">
        <f t="shared" si="24"/>
        <v>0</v>
      </c>
      <c r="Q57" s="51" t="s">
        <v>112</v>
      </c>
    </row>
    <row r="58" spans="1:24" ht="14" x14ac:dyDescent="0.3">
      <c r="A58" s="31"/>
      <c r="B58" s="31"/>
      <c r="D58" s="37"/>
      <c r="E58" s="37"/>
      <c r="F58" s="55"/>
      <c r="G58" s="55"/>
      <c r="H58" s="55"/>
      <c r="I58" s="54"/>
      <c r="J58" s="37"/>
      <c r="K58" s="37"/>
      <c r="L58" s="37"/>
      <c r="M58" s="23"/>
      <c r="X58" s="51"/>
    </row>
    <row r="59" spans="1:24" ht="14" x14ac:dyDescent="0.3">
      <c r="A59" s="31"/>
      <c r="B59" s="31"/>
      <c r="D59" s="37"/>
      <c r="E59" s="37"/>
      <c r="F59" s="55"/>
      <c r="G59" s="55"/>
      <c r="H59" s="55"/>
      <c r="I59" s="54"/>
      <c r="J59" s="37"/>
      <c r="K59" s="37"/>
      <c r="L59" s="37"/>
      <c r="M59" s="23"/>
    </row>
    <row r="60" spans="1:24" ht="14" x14ac:dyDescent="0.3">
      <c r="C60" s="28" t="s">
        <v>113</v>
      </c>
      <c r="D60" s="37"/>
      <c r="E60" s="37"/>
      <c r="G60" s="55"/>
      <c r="H60" s="55">
        <f>SUM(H31:H56)</f>
        <v>0.17562000000000003</v>
      </c>
      <c r="I60" s="55">
        <f>SUM(I31:I56)</f>
        <v>0.18419000000000002</v>
      </c>
      <c r="J60" s="55">
        <f>SUM(J31:J56)</f>
        <v>0.18650000000000003</v>
      </c>
      <c r="K60" s="37"/>
      <c r="L60" s="55">
        <f>SUM(L31:L56)</f>
        <v>0.19098000000000004</v>
      </c>
      <c r="M60" s="23"/>
    </row>
    <row r="61" spans="1:24" ht="14" x14ac:dyDescent="0.3">
      <c r="C61" s="28" t="s">
        <v>114</v>
      </c>
      <c r="D61" s="37"/>
      <c r="E61" s="37"/>
      <c r="G61" s="55"/>
      <c r="H61" s="55">
        <f>H57</f>
        <v>0.14022999999999999</v>
      </c>
      <c r="I61" s="55">
        <f>I57</f>
        <v>0.14022999999999999</v>
      </c>
      <c r="J61" s="55">
        <f>J57</f>
        <v>0.14022999999999999</v>
      </c>
      <c r="K61" s="37"/>
      <c r="L61" s="55">
        <f>L57</f>
        <v>0.14022999999999999</v>
      </c>
      <c r="M61" s="23"/>
    </row>
  </sheetData>
  <mergeCells count="7">
    <mergeCell ref="Z10:AA10"/>
    <mergeCell ref="D10:F10"/>
    <mergeCell ref="H10:J10"/>
    <mergeCell ref="L10:M10"/>
    <mergeCell ref="O10:Q10"/>
    <mergeCell ref="S10:T10"/>
    <mergeCell ref="V10:X10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3A96-0065-4809-BDDA-277CE5AAC13A}">
  <sheetPr>
    <tabColor theme="3" tint="0.59999389629810485"/>
    <pageSetUpPr fitToPage="1"/>
  </sheetPr>
  <dimension ref="A1:AC125"/>
  <sheetViews>
    <sheetView zoomScaleNormal="100" zoomScaleSheetLayoutView="71" workbookViewId="0"/>
  </sheetViews>
  <sheetFormatPr defaultColWidth="9.1796875" defaultRowHeight="14" x14ac:dyDescent="0.3"/>
  <cols>
    <col min="1" max="1" width="3.81640625" style="2" customWidth="1"/>
    <col min="2" max="2" width="4.453125" style="2" bestFit="1" customWidth="1"/>
    <col min="3" max="4" width="12" style="2" customWidth="1"/>
    <col min="5" max="5" width="12.6328125" style="2" bestFit="1" customWidth="1"/>
    <col min="6" max="7" width="13.6328125" style="2" bestFit="1" customWidth="1"/>
    <col min="8" max="8" width="2" style="2" customWidth="1"/>
    <col min="9" max="9" width="13.1796875" style="2" bestFit="1" customWidth="1"/>
    <col min="10" max="11" width="13.6328125" style="2" bestFit="1" customWidth="1"/>
    <col min="12" max="12" width="2" style="2" customWidth="1"/>
    <col min="13" max="14" width="12" style="2" customWidth="1"/>
    <col min="15" max="15" width="2" style="2" customWidth="1"/>
    <col min="16" max="16" width="13.1796875" style="2" bestFit="1" customWidth="1"/>
    <col min="17" max="18" width="13.6328125" style="2" bestFit="1" customWidth="1"/>
    <col min="19" max="19" width="2" style="2" customWidth="1"/>
    <col min="20" max="21" width="12" style="2" customWidth="1"/>
    <col min="22" max="22" width="2" style="2" customWidth="1"/>
    <col min="23" max="23" width="13.1796875" style="2" bestFit="1" customWidth="1"/>
    <col min="24" max="25" width="13.6328125" style="2" bestFit="1" customWidth="1"/>
    <col min="26" max="26" width="2" style="2" customWidth="1"/>
    <col min="27" max="28" width="12" style="2" customWidth="1"/>
    <col min="29" max="16384" width="9.1796875" style="2"/>
  </cols>
  <sheetData>
    <row r="1" spans="1:28" x14ac:dyDescent="0.3">
      <c r="A1" s="1">
        <v>1</v>
      </c>
    </row>
    <row r="2" spans="1:28" x14ac:dyDescent="0.3">
      <c r="A2" s="1">
        <f>A1+1</f>
        <v>2</v>
      </c>
    </row>
    <row r="3" spans="1:28" x14ac:dyDescent="0.3">
      <c r="A3" s="1">
        <f t="shared" ref="A3:A66" si="0">A2+1</f>
        <v>3</v>
      </c>
      <c r="B3" s="24" t="s">
        <v>40</v>
      </c>
    </row>
    <row r="4" spans="1:28" x14ac:dyDescent="0.3">
      <c r="A4" s="1">
        <f t="shared" si="0"/>
        <v>4</v>
      </c>
      <c r="B4" s="24" t="s">
        <v>41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</row>
    <row r="5" spans="1:28" x14ac:dyDescent="0.3">
      <c r="A5" s="1">
        <f t="shared" si="0"/>
        <v>5</v>
      </c>
      <c r="B5" s="24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8" x14ac:dyDescent="0.3">
      <c r="A6" s="1">
        <f t="shared" si="0"/>
        <v>6</v>
      </c>
      <c r="B6" s="24" t="s">
        <v>195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</row>
    <row r="7" spans="1:28" x14ac:dyDescent="0.3">
      <c r="A7" s="1">
        <f t="shared" si="0"/>
        <v>7</v>
      </c>
      <c r="B7" s="24" t="s">
        <v>205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</row>
    <row r="8" spans="1:28" x14ac:dyDescent="0.3">
      <c r="A8" s="1">
        <f t="shared" si="0"/>
        <v>8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</row>
    <row r="9" spans="1:28" x14ac:dyDescent="0.3">
      <c r="A9" s="1">
        <f t="shared" si="0"/>
        <v>9</v>
      </c>
      <c r="B9" s="104"/>
      <c r="D9" s="44"/>
      <c r="E9" s="44"/>
      <c r="F9" s="44"/>
      <c r="G9" s="131"/>
      <c r="H9" s="44"/>
    </row>
    <row r="10" spans="1:28" x14ac:dyDescent="0.3">
      <c r="A10" s="1">
        <f t="shared" si="0"/>
        <v>10</v>
      </c>
      <c r="B10" s="31"/>
      <c r="E10" s="44"/>
      <c r="F10" s="44"/>
      <c r="G10" s="132"/>
      <c r="H10" s="44"/>
    </row>
    <row r="11" spans="1:28" x14ac:dyDescent="0.3">
      <c r="A11" s="1">
        <f t="shared" si="0"/>
        <v>11</v>
      </c>
      <c r="B11" s="31"/>
      <c r="C11" s="104" t="str">
        <f>+'BOS G1ND'!C11</f>
        <v>Monthly</v>
      </c>
      <c r="D11" s="104" t="str">
        <f>+C11</f>
        <v>Monthly</v>
      </c>
      <c r="E11" s="32" t="str">
        <f>'EMA R1'!D10</f>
        <v>2024 Monthly Bill</v>
      </c>
      <c r="F11" s="32"/>
      <c r="G11" s="32"/>
      <c r="H11" s="133"/>
      <c r="I11" s="32" t="str">
        <f>'EMA R1'!H10</f>
        <v>2025 Illustrative Monthly Bill</v>
      </c>
      <c r="J11" s="32"/>
      <c r="K11" s="32"/>
      <c r="L11" s="23"/>
      <c r="M11" s="32" t="str">
        <f>'EMA R1'!L10</f>
        <v>2025 vs. 2024</v>
      </c>
      <c r="N11" s="32"/>
      <c r="O11" s="27"/>
      <c r="P11" s="32" t="str">
        <f>'EMA R1'!O10</f>
        <v>2026 Illustrative Monthly Bill</v>
      </c>
      <c r="Q11" s="32"/>
      <c r="R11" s="32"/>
      <c r="S11" s="133"/>
      <c r="T11" s="32" t="str">
        <f>'EMA R1'!S10</f>
        <v>2026 vs. 2025</v>
      </c>
      <c r="U11" s="32"/>
      <c r="V11" s="23"/>
      <c r="W11" s="32" t="str">
        <f>'EMA R1'!V10</f>
        <v>2027 Illustrative Monthly Bill</v>
      </c>
      <c r="X11" s="32"/>
      <c r="Y11" s="32"/>
      <c r="Z11" s="133"/>
      <c r="AA11" s="32" t="str">
        <f>'EMA R1'!Z10</f>
        <v>2027 vs. 2026</v>
      </c>
      <c r="AB11" s="32"/>
    </row>
    <row r="12" spans="1:28" x14ac:dyDescent="0.3">
      <c r="A12" s="1">
        <f t="shared" si="0"/>
        <v>12</v>
      </c>
      <c r="B12" s="31"/>
      <c r="C12" s="134" t="s">
        <v>125</v>
      </c>
      <c r="D12" s="134" t="s">
        <v>47</v>
      </c>
      <c r="E12" s="34" t="s">
        <v>48</v>
      </c>
      <c r="F12" s="34" t="s">
        <v>49</v>
      </c>
      <c r="G12" s="34" t="s">
        <v>50</v>
      </c>
      <c r="H12" s="34"/>
      <c r="I12" s="34" t="s">
        <v>48</v>
      </c>
      <c r="J12" s="34" t="s">
        <v>49</v>
      </c>
      <c r="K12" s="34" t="s">
        <v>50</v>
      </c>
      <c r="L12" s="23"/>
      <c r="M12" s="34" t="s">
        <v>51</v>
      </c>
      <c r="N12" s="34" t="s">
        <v>14</v>
      </c>
      <c r="O12" s="34"/>
      <c r="P12" s="34" t="s">
        <v>48</v>
      </c>
      <c r="Q12" s="34" t="s">
        <v>49</v>
      </c>
      <c r="R12" s="34" t="s">
        <v>50</v>
      </c>
      <c r="S12" s="34"/>
      <c r="T12" s="34" t="s">
        <v>51</v>
      </c>
      <c r="U12" s="34" t="s">
        <v>14</v>
      </c>
      <c r="V12" s="23"/>
      <c r="W12" s="34" t="s">
        <v>48</v>
      </c>
      <c r="X12" s="34" t="s">
        <v>49</v>
      </c>
      <c r="Y12" s="34" t="s">
        <v>50</v>
      </c>
      <c r="Z12" s="34"/>
      <c r="AA12" s="34" t="s">
        <v>51</v>
      </c>
      <c r="AB12" s="34" t="s">
        <v>14</v>
      </c>
    </row>
    <row r="13" spans="1:28" x14ac:dyDescent="0.3">
      <c r="A13" s="1">
        <f t="shared" si="0"/>
        <v>13</v>
      </c>
      <c r="B13" s="31"/>
      <c r="C13" s="134"/>
      <c r="D13" s="134"/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Y13" s="44"/>
      <c r="Z13" s="44"/>
    </row>
    <row r="14" spans="1:28" x14ac:dyDescent="0.3">
      <c r="A14" s="1">
        <f t="shared" si="0"/>
        <v>14</v>
      </c>
      <c r="B14" s="31"/>
      <c r="C14" s="164" t="s">
        <v>126</v>
      </c>
      <c r="D14" s="104">
        <v>270</v>
      </c>
      <c r="E14" s="134"/>
      <c r="F14" s="134"/>
      <c r="G14" s="134"/>
      <c r="H14" s="44"/>
      <c r="I14" s="134"/>
      <c r="J14" s="134"/>
      <c r="K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Y14" s="44"/>
      <c r="Z14" s="44"/>
    </row>
    <row r="15" spans="1:28" x14ac:dyDescent="0.3">
      <c r="A15" s="1">
        <f t="shared" si="0"/>
        <v>15</v>
      </c>
      <c r="B15" s="31"/>
      <c r="C15" s="105">
        <v>25</v>
      </c>
      <c r="D15" s="106">
        <f>C15*$D$14</f>
        <v>6750</v>
      </c>
      <c r="E15" s="135">
        <f>ROUND($G$84+$C15*$G$85+$D15*$G$86,2)</f>
        <v>1112.7</v>
      </c>
      <c r="F15" s="135">
        <f>ROUND($G$87*D15,2)</f>
        <v>817.7</v>
      </c>
      <c r="G15" s="135">
        <f t="shared" ref="G15:G24" si="1">SUM(E15:F15)</f>
        <v>1930.4</v>
      </c>
      <c r="H15" s="136"/>
      <c r="I15" s="135">
        <f>ROUND($I$84+$C15*$I$85+$D15*$I$86,2)</f>
        <v>1237.6400000000001</v>
      </c>
      <c r="J15" s="135">
        <f>ROUND($I$87*D15,2)</f>
        <v>817.7</v>
      </c>
      <c r="K15" s="135">
        <f>SUM(I15:J15)</f>
        <v>2055.34</v>
      </c>
      <c r="L15" s="136"/>
      <c r="M15" s="135">
        <f t="shared" ref="M15:M24" si="2">+K15-G15</f>
        <v>124.94000000000005</v>
      </c>
      <c r="N15" s="137">
        <f t="shared" ref="N15:N24" si="3">+M15/G15</f>
        <v>6.4722337339411545E-2</v>
      </c>
      <c r="O15" s="135"/>
      <c r="P15" s="135">
        <f>ROUND($J$84+$C15*$J$85+$D15*$J$86,2)</f>
        <v>1257.55</v>
      </c>
      <c r="Q15" s="135">
        <f>ROUND($J$87*D15,2)</f>
        <v>817.7</v>
      </c>
      <c r="R15" s="135">
        <f t="shared" ref="R15:R24" si="4">SUM(P15:Q15)</f>
        <v>2075.25</v>
      </c>
      <c r="S15" s="136"/>
      <c r="T15" s="135">
        <f>+R15-K15</f>
        <v>19.909999999999854</v>
      </c>
      <c r="U15" s="137">
        <f>+T15/K15</f>
        <v>9.6869617678826143E-3</v>
      </c>
      <c r="V15" s="135"/>
      <c r="W15" s="135">
        <f>ROUND($K$84+$C15*$K$85+$D15*$K$86,2)</f>
        <v>1256.2</v>
      </c>
      <c r="X15" s="135">
        <f>ROUND($K$87*D15,2)</f>
        <v>817.7</v>
      </c>
      <c r="Y15" s="135">
        <f t="shared" ref="Y15:Y24" si="5">SUM(W15:X15)</f>
        <v>2073.9</v>
      </c>
      <c r="Z15" s="136"/>
      <c r="AA15" s="135">
        <f>+Y15-R15</f>
        <v>-1.3499999999999091</v>
      </c>
      <c r="AB15" s="137">
        <f>+AA15/R15</f>
        <v>-6.5052403324896227E-4</v>
      </c>
    </row>
    <row r="16" spans="1:28" x14ac:dyDescent="0.3">
      <c r="A16" s="1">
        <f t="shared" si="0"/>
        <v>16</v>
      </c>
      <c r="B16" s="31"/>
      <c r="C16" s="105">
        <v>65</v>
      </c>
      <c r="D16" s="106">
        <f t="shared" ref="D16:D24" si="6">C16*$D$14</f>
        <v>17550</v>
      </c>
      <c r="E16" s="135">
        <f t="shared" ref="E16:E48" si="7">ROUND($G$84+$C16*$G$85+$D16*$G$86,2)</f>
        <v>2301.0100000000002</v>
      </c>
      <c r="F16" s="135">
        <f t="shared" ref="F16:F48" si="8">ROUND($G$87*D16,2)</f>
        <v>2126.0100000000002</v>
      </c>
      <c r="G16" s="135">
        <f t="shared" si="1"/>
        <v>4427.0200000000004</v>
      </c>
      <c r="H16" s="136"/>
      <c r="I16" s="135">
        <f t="shared" ref="I16:I48" si="9">ROUND($I$84+$C16*$I$85+$D16*$I$86,2)</f>
        <v>2625.86</v>
      </c>
      <c r="J16" s="135">
        <f t="shared" ref="J16:J48" si="10">ROUND($I$87*D16,2)</f>
        <v>2126.0100000000002</v>
      </c>
      <c r="K16" s="135">
        <f t="shared" ref="K16:K24" si="11">SUM(I16:J16)</f>
        <v>4751.8700000000008</v>
      </c>
      <c r="L16" s="136"/>
      <c r="M16" s="135">
        <f t="shared" si="2"/>
        <v>324.85000000000036</v>
      </c>
      <c r="N16" s="137">
        <f t="shared" si="3"/>
        <v>7.3378932103311104E-2</v>
      </c>
      <c r="O16" s="135"/>
      <c r="P16" s="135">
        <f t="shared" ref="P16:P48" si="12">ROUND($J$84+$C16*$J$85+$D16*$J$86,2)</f>
        <v>2677.63</v>
      </c>
      <c r="Q16" s="135">
        <f t="shared" ref="Q16:Q48" si="13">ROUND($J$87*D16,2)</f>
        <v>2126.0100000000002</v>
      </c>
      <c r="R16" s="135">
        <f t="shared" si="4"/>
        <v>4803.6400000000003</v>
      </c>
      <c r="S16" s="136"/>
      <c r="T16" s="135">
        <f t="shared" ref="T16:T48" si="14">+R16-K16</f>
        <v>51.769999999999527</v>
      </c>
      <c r="U16" s="137">
        <f t="shared" ref="U16:U48" si="15">+T16/K16</f>
        <v>1.0894658313463861E-2</v>
      </c>
      <c r="V16" s="135"/>
      <c r="W16" s="135">
        <f t="shared" ref="W16:W48" si="16">ROUND($K$84+$C16*$K$85+$D16*$K$86,2)</f>
        <v>2674.12</v>
      </c>
      <c r="X16" s="135">
        <f t="shared" ref="X16:X48" si="17">ROUND($K$87*D16,2)</f>
        <v>2126.0100000000002</v>
      </c>
      <c r="Y16" s="135">
        <f t="shared" si="5"/>
        <v>4800.13</v>
      </c>
      <c r="Z16" s="136"/>
      <c r="AA16" s="135">
        <f t="shared" ref="AA16:AA48" si="18">+Y16-R16</f>
        <v>-3.5100000000002183</v>
      </c>
      <c r="AB16" s="137">
        <f t="shared" ref="AB16:AB48" si="19">+AA16/R16</f>
        <v>-7.3069588895092433E-4</v>
      </c>
    </row>
    <row r="17" spans="1:29" x14ac:dyDescent="0.3">
      <c r="A17" s="1">
        <f t="shared" si="0"/>
        <v>17</v>
      </c>
      <c r="B17" s="31"/>
      <c r="C17" s="105">
        <v>100</v>
      </c>
      <c r="D17" s="106">
        <f t="shared" si="6"/>
        <v>27000</v>
      </c>
      <c r="E17" s="135">
        <f>ROUND($G$84+$C17*$G$85+$D17*$G$86,2)</f>
        <v>3340.78</v>
      </c>
      <c r="F17" s="135">
        <f t="shared" si="8"/>
        <v>3270.78</v>
      </c>
      <c r="G17" s="135">
        <f t="shared" si="1"/>
        <v>6611.56</v>
      </c>
      <c r="H17" s="136"/>
      <c r="I17" s="135">
        <f>ROUND($I$84+$C17*$I$85+$D17*$I$86,2)</f>
        <v>3840.55</v>
      </c>
      <c r="J17" s="135">
        <f>ROUND($I$87*D17,2)</f>
        <v>3270.78</v>
      </c>
      <c r="K17" s="135">
        <f t="shared" si="11"/>
        <v>7111.33</v>
      </c>
      <c r="L17" s="136"/>
      <c r="M17" s="135">
        <f t="shared" si="2"/>
        <v>499.76999999999953</v>
      </c>
      <c r="N17" s="137">
        <f t="shared" si="3"/>
        <v>7.5590329665010905E-2</v>
      </c>
      <c r="O17" s="135"/>
      <c r="P17" s="135">
        <f>ROUND($J$84+$C17*$J$85+$D17*$J$86,2)</f>
        <v>3920.2</v>
      </c>
      <c r="Q17" s="135">
        <f>ROUND($J$87*D17,2)</f>
        <v>3270.78</v>
      </c>
      <c r="R17" s="135">
        <f t="shared" si="4"/>
        <v>7190.98</v>
      </c>
      <c r="S17" s="136"/>
      <c r="T17" s="135">
        <f t="shared" si="14"/>
        <v>79.649999999999636</v>
      </c>
      <c r="U17" s="137">
        <f t="shared" si="15"/>
        <v>1.1200436486564347E-2</v>
      </c>
      <c r="V17" s="135"/>
      <c r="W17" s="135">
        <f>ROUND($K$84+$C17*$K$85+$D17*$K$86,2)</f>
        <v>3914.8</v>
      </c>
      <c r="X17" s="135">
        <f t="shared" si="17"/>
        <v>3270.78</v>
      </c>
      <c r="Y17" s="135">
        <f t="shared" si="5"/>
        <v>7185.58</v>
      </c>
      <c r="Z17" s="136"/>
      <c r="AA17" s="135">
        <f t="shared" si="18"/>
        <v>-5.3999999999996362</v>
      </c>
      <c r="AB17" s="137">
        <f t="shared" si="19"/>
        <v>-7.5094076189888401E-4</v>
      </c>
    </row>
    <row r="18" spans="1:29" x14ac:dyDescent="0.3">
      <c r="A18" s="1">
        <f t="shared" si="0"/>
        <v>18</v>
      </c>
      <c r="B18" s="31"/>
      <c r="C18" s="105">
        <v>200</v>
      </c>
      <c r="D18" s="106">
        <f t="shared" si="6"/>
        <v>54000</v>
      </c>
      <c r="E18" s="135">
        <f t="shared" si="7"/>
        <v>6311.56</v>
      </c>
      <c r="F18" s="135">
        <f>ROUND($G$87*D18,2)</f>
        <v>6541.56</v>
      </c>
      <c r="G18" s="135">
        <f t="shared" si="1"/>
        <v>12853.12</v>
      </c>
      <c r="H18" s="136"/>
      <c r="I18" s="135">
        <f t="shared" si="9"/>
        <v>7311.1</v>
      </c>
      <c r="J18" s="135">
        <f>ROUND($I$87*D18,2)</f>
        <v>6541.56</v>
      </c>
      <c r="K18" s="135">
        <f t="shared" si="11"/>
        <v>13852.66</v>
      </c>
      <c r="L18" s="136"/>
      <c r="M18" s="135">
        <f t="shared" si="2"/>
        <v>999.53999999999905</v>
      </c>
      <c r="N18" s="137">
        <f t="shared" si="3"/>
        <v>7.7766332221281598E-2</v>
      </c>
      <c r="O18" s="135"/>
      <c r="P18" s="135">
        <f t="shared" si="12"/>
        <v>7470.4</v>
      </c>
      <c r="Q18" s="135">
        <f t="shared" si="13"/>
        <v>6541.56</v>
      </c>
      <c r="R18" s="135">
        <f t="shared" si="4"/>
        <v>14011.96</v>
      </c>
      <c r="S18" s="136"/>
      <c r="T18" s="135">
        <f t="shared" si="14"/>
        <v>159.29999999999927</v>
      </c>
      <c r="U18" s="137">
        <f t="shared" si="15"/>
        <v>1.1499596467393213E-2</v>
      </c>
      <c r="V18" s="135"/>
      <c r="W18" s="135">
        <f t="shared" si="16"/>
        <v>7459.6</v>
      </c>
      <c r="X18" s="135">
        <f>ROUND($K$87*D18,2)</f>
        <v>6541.56</v>
      </c>
      <c r="Y18" s="135">
        <f t="shared" si="5"/>
        <v>14001.16</v>
      </c>
      <c r="Z18" s="136"/>
      <c r="AA18" s="135">
        <f t="shared" si="18"/>
        <v>-10.799999999999272</v>
      </c>
      <c r="AB18" s="137">
        <f t="shared" si="19"/>
        <v>-7.7077011353153112E-4</v>
      </c>
    </row>
    <row r="19" spans="1:29" x14ac:dyDescent="0.3">
      <c r="A19" s="1">
        <f t="shared" si="0"/>
        <v>19</v>
      </c>
      <c r="B19" s="31"/>
      <c r="C19" s="105">
        <v>300</v>
      </c>
      <c r="D19" s="106">
        <f t="shared" si="6"/>
        <v>81000</v>
      </c>
      <c r="E19" s="135">
        <f t="shared" si="7"/>
        <v>9282.34</v>
      </c>
      <c r="F19" s="135">
        <f t="shared" si="8"/>
        <v>9812.34</v>
      </c>
      <c r="G19" s="135">
        <f t="shared" si="1"/>
        <v>19094.68</v>
      </c>
      <c r="H19" s="136"/>
      <c r="I19" s="135">
        <f>ROUND($I$84+$C19*$I$85+$D19*$I$86,2)</f>
        <v>10781.65</v>
      </c>
      <c r="J19" s="135">
        <f t="shared" si="10"/>
        <v>9812.34</v>
      </c>
      <c r="K19" s="135">
        <f t="shared" si="11"/>
        <v>20593.989999999998</v>
      </c>
      <c r="L19" s="136"/>
      <c r="M19" s="135">
        <f t="shared" si="2"/>
        <v>1499.3099999999977</v>
      </c>
      <c r="N19" s="137">
        <f t="shared" si="3"/>
        <v>7.8519776188969784E-2</v>
      </c>
      <c r="O19" s="135"/>
      <c r="P19" s="135">
        <f t="shared" si="12"/>
        <v>11020.6</v>
      </c>
      <c r="Q19" s="135">
        <f>ROUND($J$87*D19,2)</f>
        <v>9812.34</v>
      </c>
      <c r="R19" s="135">
        <f t="shared" si="4"/>
        <v>20832.940000000002</v>
      </c>
      <c r="S19" s="136"/>
      <c r="T19" s="135">
        <f t="shared" si="14"/>
        <v>238.95000000000437</v>
      </c>
      <c r="U19" s="137">
        <f t="shared" si="15"/>
        <v>1.1602899680926542E-2</v>
      </c>
      <c r="V19" s="135"/>
      <c r="W19" s="135">
        <f>ROUND($K$84+$C19*$K$85+$D19*$K$86,2)</f>
        <v>11004.4</v>
      </c>
      <c r="X19" s="135">
        <f>ROUND($K$87*D19,2)</f>
        <v>9812.34</v>
      </c>
      <c r="Y19" s="135">
        <f t="shared" si="5"/>
        <v>20816.739999999998</v>
      </c>
      <c r="Z19" s="136"/>
      <c r="AA19" s="135">
        <f t="shared" si="18"/>
        <v>-16.200000000004366</v>
      </c>
      <c r="AB19" s="137">
        <f t="shared" si="19"/>
        <v>-7.7761468136539362E-4</v>
      </c>
    </row>
    <row r="20" spans="1:29" x14ac:dyDescent="0.3">
      <c r="A20" s="1">
        <f t="shared" si="0"/>
        <v>20</v>
      </c>
      <c r="B20" s="31"/>
      <c r="C20" s="105">
        <v>450</v>
      </c>
      <c r="D20" s="106">
        <f t="shared" si="6"/>
        <v>121500</v>
      </c>
      <c r="E20" s="135">
        <f t="shared" si="7"/>
        <v>13738.51</v>
      </c>
      <c r="F20" s="135">
        <f t="shared" si="8"/>
        <v>14718.51</v>
      </c>
      <c r="G20" s="135">
        <f t="shared" si="1"/>
        <v>28457.02</v>
      </c>
      <c r="H20" s="136"/>
      <c r="I20" s="135">
        <f t="shared" si="9"/>
        <v>15987.48</v>
      </c>
      <c r="J20" s="135">
        <f t="shared" si="10"/>
        <v>14718.51</v>
      </c>
      <c r="K20" s="135">
        <f t="shared" si="11"/>
        <v>30705.989999999998</v>
      </c>
      <c r="L20" s="136"/>
      <c r="M20" s="135">
        <f t="shared" si="2"/>
        <v>2248.9699999999975</v>
      </c>
      <c r="N20" s="137">
        <f t="shared" si="3"/>
        <v>7.9030411476675971E-2</v>
      </c>
      <c r="O20" s="135"/>
      <c r="P20" s="135">
        <f t="shared" si="12"/>
        <v>16345.9</v>
      </c>
      <c r="Q20" s="135">
        <f t="shared" si="13"/>
        <v>14718.51</v>
      </c>
      <c r="R20" s="135">
        <f t="shared" si="4"/>
        <v>31064.41</v>
      </c>
      <c r="S20" s="136"/>
      <c r="T20" s="135">
        <f t="shared" si="14"/>
        <v>358.42000000000189</v>
      </c>
      <c r="U20" s="137">
        <f t="shared" si="15"/>
        <v>1.1672641071009335E-2</v>
      </c>
      <c r="V20" s="135"/>
      <c r="W20" s="135">
        <f t="shared" si="16"/>
        <v>16321.6</v>
      </c>
      <c r="X20" s="135">
        <f t="shared" si="17"/>
        <v>14718.51</v>
      </c>
      <c r="Y20" s="135">
        <f t="shared" si="5"/>
        <v>31040.11</v>
      </c>
      <c r="Z20" s="136"/>
      <c r="AA20" s="135">
        <f t="shared" si="18"/>
        <v>-24.299999999999272</v>
      </c>
      <c r="AB20" s="137">
        <f t="shared" si="19"/>
        <v>-7.8224566312378938E-4</v>
      </c>
    </row>
    <row r="21" spans="1:29" x14ac:dyDescent="0.3">
      <c r="A21" s="1">
        <f t="shared" si="0"/>
        <v>21</v>
      </c>
      <c r="B21" s="31"/>
      <c r="C21" s="105">
        <v>600</v>
      </c>
      <c r="D21" s="106">
        <f t="shared" si="6"/>
        <v>162000</v>
      </c>
      <c r="E21" s="135">
        <f t="shared" si="7"/>
        <v>18194.68</v>
      </c>
      <c r="F21" s="135">
        <f t="shared" si="8"/>
        <v>19624.68</v>
      </c>
      <c r="G21" s="135">
        <f t="shared" si="1"/>
        <v>37819.360000000001</v>
      </c>
      <c r="H21" s="136"/>
      <c r="I21" s="135">
        <f t="shared" si="9"/>
        <v>21193.3</v>
      </c>
      <c r="J21" s="135">
        <f t="shared" si="10"/>
        <v>19624.68</v>
      </c>
      <c r="K21" s="135">
        <f t="shared" si="11"/>
        <v>40817.979999999996</v>
      </c>
      <c r="L21" s="136"/>
      <c r="M21" s="135">
        <f t="shared" si="2"/>
        <v>2998.6199999999953</v>
      </c>
      <c r="N21" s="137">
        <f t="shared" si="3"/>
        <v>7.9287962567319889E-2</v>
      </c>
      <c r="O21" s="135"/>
      <c r="P21" s="135">
        <f t="shared" si="12"/>
        <v>21671.200000000001</v>
      </c>
      <c r="Q21" s="135">
        <f t="shared" si="13"/>
        <v>19624.68</v>
      </c>
      <c r="R21" s="135">
        <f t="shared" si="4"/>
        <v>41295.880000000005</v>
      </c>
      <c r="S21" s="136"/>
      <c r="T21" s="135">
        <f t="shared" si="14"/>
        <v>477.90000000000873</v>
      </c>
      <c r="U21" s="137">
        <f t="shared" si="15"/>
        <v>1.1708075705853371E-2</v>
      </c>
      <c r="V21" s="135"/>
      <c r="W21" s="135">
        <f t="shared" si="16"/>
        <v>21638.799999999999</v>
      </c>
      <c r="X21" s="135">
        <f t="shared" si="17"/>
        <v>19624.68</v>
      </c>
      <c r="Y21" s="135">
        <f t="shared" si="5"/>
        <v>41263.479999999996</v>
      </c>
      <c r="Z21" s="136"/>
      <c r="AA21" s="135">
        <f t="shared" si="18"/>
        <v>-32.400000000008731</v>
      </c>
      <c r="AB21" s="137">
        <f t="shared" si="19"/>
        <v>-7.8458190018008403E-4</v>
      </c>
    </row>
    <row r="22" spans="1:29" x14ac:dyDescent="0.3">
      <c r="A22" s="1">
        <f t="shared" si="0"/>
        <v>22</v>
      </c>
      <c r="B22" s="31"/>
      <c r="C22" s="105">
        <v>800</v>
      </c>
      <c r="D22" s="106">
        <f t="shared" si="6"/>
        <v>216000</v>
      </c>
      <c r="E22" s="135">
        <f t="shared" si="7"/>
        <v>24136.240000000002</v>
      </c>
      <c r="F22" s="135">
        <f t="shared" si="8"/>
        <v>26166.240000000002</v>
      </c>
      <c r="G22" s="135">
        <f t="shared" si="1"/>
        <v>50302.48</v>
      </c>
      <c r="H22" s="136"/>
      <c r="I22" s="135">
        <f t="shared" si="9"/>
        <v>28134.400000000001</v>
      </c>
      <c r="J22" s="135">
        <f t="shared" si="10"/>
        <v>26166.240000000002</v>
      </c>
      <c r="K22" s="135">
        <f t="shared" si="11"/>
        <v>54300.639999999999</v>
      </c>
      <c r="L22" s="136"/>
      <c r="M22" s="135">
        <f t="shared" si="2"/>
        <v>3998.1599999999962</v>
      </c>
      <c r="N22" s="137">
        <f t="shared" si="3"/>
        <v>7.9482363493807773E-2</v>
      </c>
      <c r="O22" s="135"/>
      <c r="P22" s="135">
        <f t="shared" si="12"/>
        <v>28771.599999999999</v>
      </c>
      <c r="Q22" s="135">
        <f t="shared" si="13"/>
        <v>26166.240000000002</v>
      </c>
      <c r="R22" s="135">
        <f t="shared" si="4"/>
        <v>54937.84</v>
      </c>
      <c r="S22" s="136"/>
      <c r="T22" s="135">
        <f t="shared" si="14"/>
        <v>637.19999999999709</v>
      </c>
      <c r="U22" s="137">
        <f t="shared" si="15"/>
        <v>1.1734668320667991E-2</v>
      </c>
      <c r="V22" s="135"/>
      <c r="W22" s="135">
        <f t="shared" si="16"/>
        <v>28728.400000000001</v>
      </c>
      <c r="X22" s="135">
        <f t="shared" si="17"/>
        <v>26166.240000000002</v>
      </c>
      <c r="Y22" s="135">
        <f t="shared" si="5"/>
        <v>54894.64</v>
      </c>
      <c r="Z22" s="136"/>
      <c r="AA22" s="135">
        <f t="shared" si="18"/>
        <v>-43.19999999999709</v>
      </c>
      <c r="AB22" s="137">
        <f t="shared" si="19"/>
        <v>-7.8634325630561909E-4</v>
      </c>
    </row>
    <row r="23" spans="1:29" x14ac:dyDescent="0.3">
      <c r="A23" s="1">
        <f t="shared" si="0"/>
        <v>23</v>
      </c>
      <c r="B23" s="31"/>
      <c r="C23" s="106">
        <v>2600</v>
      </c>
      <c r="D23" s="106">
        <f t="shared" si="6"/>
        <v>702000</v>
      </c>
      <c r="E23" s="135">
        <f t="shared" si="7"/>
        <v>77610.28</v>
      </c>
      <c r="F23" s="135">
        <f t="shared" si="8"/>
        <v>85040.28</v>
      </c>
      <c r="G23" s="135">
        <f t="shared" si="1"/>
        <v>162650.56</v>
      </c>
      <c r="H23" s="136"/>
      <c r="I23" s="135">
        <f t="shared" si="9"/>
        <v>90604.3</v>
      </c>
      <c r="J23" s="135">
        <f t="shared" si="10"/>
        <v>85040.28</v>
      </c>
      <c r="K23" s="135">
        <f t="shared" si="11"/>
        <v>175644.58000000002</v>
      </c>
      <c r="L23" s="136"/>
      <c r="M23" s="135">
        <f t="shared" si="2"/>
        <v>12994.020000000019</v>
      </c>
      <c r="N23" s="137">
        <f t="shared" si="3"/>
        <v>7.9889180830364309E-2</v>
      </c>
      <c r="O23" s="135"/>
      <c r="P23" s="135">
        <f t="shared" si="12"/>
        <v>92675.199999999997</v>
      </c>
      <c r="Q23" s="135">
        <f t="shared" si="13"/>
        <v>85040.28</v>
      </c>
      <c r="R23" s="135">
        <f t="shared" si="4"/>
        <v>177715.47999999998</v>
      </c>
      <c r="S23" s="136"/>
      <c r="T23" s="135">
        <f t="shared" si="14"/>
        <v>2070.8999999999651</v>
      </c>
      <c r="U23" s="137">
        <f t="shared" si="15"/>
        <v>1.1790286953346154E-2</v>
      </c>
      <c r="V23" s="135"/>
      <c r="W23" s="135">
        <f t="shared" si="16"/>
        <v>92534.8</v>
      </c>
      <c r="X23" s="135">
        <f t="shared" si="17"/>
        <v>85040.28</v>
      </c>
      <c r="Y23" s="135">
        <f t="shared" si="5"/>
        <v>177575.08000000002</v>
      </c>
      <c r="Z23" s="136"/>
      <c r="AA23" s="135">
        <f t="shared" si="18"/>
        <v>-140.39999999996508</v>
      </c>
      <c r="AB23" s="137">
        <f t="shared" si="19"/>
        <v>-7.9002684515701782E-4</v>
      </c>
    </row>
    <row r="24" spans="1:29" x14ac:dyDescent="0.3">
      <c r="A24" s="1">
        <f t="shared" si="0"/>
        <v>24</v>
      </c>
      <c r="B24" s="31" t="s">
        <v>52</v>
      </c>
      <c r="C24" s="106">
        <v>600</v>
      </c>
      <c r="D24" s="106">
        <f t="shared" si="6"/>
        <v>162000</v>
      </c>
      <c r="E24" s="135">
        <f t="shared" si="7"/>
        <v>18194.68</v>
      </c>
      <c r="F24" s="135">
        <f t="shared" si="8"/>
        <v>19624.68</v>
      </c>
      <c r="G24" s="135">
        <f t="shared" si="1"/>
        <v>37819.360000000001</v>
      </c>
      <c r="H24" s="136"/>
      <c r="I24" s="135">
        <f t="shared" si="9"/>
        <v>21193.3</v>
      </c>
      <c r="J24" s="135">
        <f t="shared" si="10"/>
        <v>19624.68</v>
      </c>
      <c r="K24" s="135">
        <f t="shared" si="11"/>
        <v>40817.979999999996</v>
      </c>
      <c r="L24" s="136"/>
      <c r="M24" s="135">
        <f t="shared" si="2"/>
        <v>2998.6199999999953</v>
      </c>
      <c r="N24" s="137">
        <f t="shared" si="3"/>
        <v>7.9287962567319889E-2</v>
      </c>
      <c r="O24" s="135"/>
      <c r="P24" s="135">
        <f t="shared" si="12"/>
        <v>21671.200000000001</v>
      </c>
      <c r="Q24" s="135">
        <f t="shared" si="13"/>
        <v>19624.68</v>
      </c>
      <c r="R24" s="135">
        <f t="shared" si="4"/>
        <v>41295.880000000005</v>
      </c>
      <c r="S24" s="136"/>
      <c r="T24" s="135">
        <f t="shared" si="14"/>
        <v>477.90000000000873</v>
      </c>
      <c r="U24" s="137">
        <f t="shared" si="15"/>
        <v>1.1708075705853371E-2</v>
      </c>
      <c r="V24" s="135"/>
      <c r="W24" s="135">
        <f t="shared" si="16"/>
        <v>21638.799999999999</v>
      </c>
      <c r="X24" s="135">
        <f t="shared" si="17"/>
        <v>19624.68</v>
      </c>
      <c r="Y24" s="135">
        <f t="shared" si="5"/>
        <v>41263.479999999996</v>
      </c>
      <c r="Z24" s="136"/>
      <c r="AA24" s="135">
        <f t="shared" si="18"/>
        <v>-32.400000000008731</v>
      </c>
      <c r="AB24" s="137">
        <f t="shared" si="19"/>
        <v>-7.8458190018008403E-4</v>
      </c>
    </row>
    <row r="25" spans="1:29" x14ac:dyDescent="0.3">
      <c r="A25" s="1">
        <f t="shared" si="0"/>
        <v>25</v>
      </c>
      <c r="B25" s="31"/>
      <c r="C25" s="44"/>
      <c r="D25" s="106"/>
      <c r="E25" s="135"/>
      <c r="F25" s="135"/>
      <c r="G25" s="135"/>
      <c r="H25" s="136"/>
      <c r="I25" s="135"/>
      <c r="J25" s="135"/>
      <c r="K25" s="136"/>
      <c r="L25" s="136"/>
      <c r="M25" s="136"/>
      <c r="N25" s="44"/>
      <c r="O25" s="136"/>
      <c r="P25" s="135"/>
      <c r="Q25" s="135"/>
      <c r="R25" s="136"/>
      <c r="S25" s="136"/>
      <c r="T25" s="135"/>
      <c r="U25" s="137"/>
      <c r="V25" s="136"/>
      <c r="W25" s="135"/>
      <c r="X25" s="135"/>
      <c r="Y25" s="136"/>
      <c r="Z25" s="136"/>
      <c r="AA25" s="135"/>
      <c r="AB25" s="137"/>
    </row>
    <row r="26" spans="1:29" x14ac:dyDescent="0.3">
      <c r="A26" s="1">
        <f t="shared" si="0"/>
        <v>26</v>
      </c>
      <c r="B26" s="31"/>
      <c r="C26" s="44" t="s">
        <v>206</v>
      </c>
      <c r="D26" s="106">
        <v>445</v>
      </c>
      <c r="E26" s="135"/>
      <c r="F26" s="135"/>
      <c r="G26" s="135"/>
      <c r="H26" s="136"/>
      <c r="I26" s="135"/>
      <c r="J26" s="135"/>
      <c r="K26" s="136"/>
      <c r="L26" s="136"/>
      <c r="M26" s="136"/>
      <c r="N26" s="44"/>
      <c r="O26" s="136"/>
      <c r="P26" s="135"/>
      <c r="Q26" s="135"/>
      <c r="R26" s="136"/>
      <c r="S26" s="136"/>
      <c r="T26" s="135"/>
      <c r="U26" s="137"/>
      <c r="V26" s="136"/>
      <c r="W26" s="135"/>
      <c r="X26" s="135"/>
      <c r="Y26" s="136"/>
      <c r="Z26" s="136"/>
      <c r="AA26" s="135"/>
      <c r="AB26" s="137"/>
    </row>
    <row r="27" spans="1:29" x14ac:dyDescent="0.3">
      <c r="A27" s="1">
        <f t="shared" si="0"/>
        <v>27</v>
      </c>
      <c r="B27" s="31"/>
      <c r="C27" s="105">
        <v>50</v>
      </c>
      <c r="D27" s="106">
        <f>C27*$D$26</f>
        <v>22250</v>
      </c>
      <c r="E27" s="135">
        <f t="shared" si="7"/>
        <v>1926.62</v>
      </c>
      <c r="F27" s="135">
        <f t="shared" si="8"/>
        <v>2695.37</v>
      </c>
      <c r="G27" s="135">
        <f t="shared" ref="G27:G36" si="20">SUM(E27:F27)</f>
        <v>4621.99</v>
      </c>
      <c r="H27" s="136"/>
      <c r="I27" s="135">
        <f t="shared" si="9"/>
        <v>2338.46</v>
      </c>
      <c r="J27" s="135">
        <f t="shared" si="10"/>
        <v>2695.37</v>
      </c>
      <c r="K27" s="135">
        <f t="shared" ref="K27:K36" si="21">SUM(I27:J27)</f>
        <v>5033.83</v>
      </c>
      <c r="L27" s="136"/>
      <c r="M27" s="135">
        <f t="shared" ref="M27:M36" si="22">+K27-G27</f>
        <v>411.84000000000015</v>
      </c>
      <c r="N27" s="137">
        <f t="shared" ref="N27:N36" si="23">+M27/G27</f>
        <v>8.9104476643177541E-2</v>
      </c>
      <c r="O27" s="135"/>
      <c r="P27" s="135">
        <f t="shared" si="12"/>
        <v>2404.1</v>
      </c>
      <c r="Q27" s="135">
        <f t="shared" si="13"/>
        <v>2695.37</v>
      </c>
      <c r="R27" s="135">
        <f t="shared" ref="R27:R36" si="24">SUM(P27:Q27)</f>
        <v>5099.4699999999993</v>
      </c>
      <c r="S27" s="136"/>
      <c r="T27" s="135">
        <f t="shared" si="14"/>
        <v>65.639999999999418</v>
      </c>
      <c r="U27" s="137">
        <f t="shared" si="15"/>
        <v>1.3039772896581613E-2</v>
      </c>
      <c r="V27" s="135"/>
      <c r="W27" s="135">
        <f t="shared" si="16"/>
        <v>2399.65</v>
      </c>
      <c r="X27" s="135">
        <f t="shared" si="17"/>
        <v>2695.37</v>
      </c>
      <c r="Y27" s="135">
        <f t="shared" ref="Y27:Y36" si="25">SUM(W27:X27)</f>
        <v>5095.0200000000004</v>
      </c>
      <c r="Z27" s="136"/>
      <c r="AA27" s="135">
        <f t="shared" si="18"/>
        <v>-4.4499999999989086</v>
      </c>
      <c r="AB27" s="137">
        <f t="shared" si="19"/>
        <v>-8.7263970569469163E-4</v>
      </c>
    </row>
    <row r="28" spans="1:29" x14ac:dyDescent="0.3">
      <c r="A28" s="1">
        <f t="shared" si="0"/>
        <v>28</v>
      </c>
      <c r="B28" s="31"/>
      <c r="C28" s="105">
        <v>155</v>
      </c>
      <c r="D28" s="106">
        <f t="shared" ref="D28:D36" si="26">C28*$D$26</f>
        <v>68975</v>
      </c>
      <c r="E28" s="135">
        <f t="shared" si="7"/>
        <v>5195.51</v>
      </c>
      <c r="F28" s="135">
        <f t="shared" si="8"/>
        <v>8355.6299999999992</v>
      </c>
      <c r="G28" s="135">
        <f t="shared" si="20"/>
        <v>13551.14</v>
      </c>
      <c r="H28" s="136"/>
      <c r="I28" s="135">
        <f t="shared" si="9"/>
        <v>6472.23</v>
      </c>
      <c r="J28" s="135">
        <f t="shared" si="10"/>
        <v>8355.6299999999992</v>
      </c>
      <c r="K28" s="135">
        <f t="shared" si="21"/>
        <v>14827.859999999999</v>
      </c>
      <c r="L28" s="136"/>
      <c r="M28" s="135">
        <f t="shared" si="22"/>
        <v>1276.7199999999993</v>
      </c>
      <c r="N28" s="137">
        <f t="shared" si="23"/>
        <v>9.4214951657203699E-2</v>
      </c>
      <c r="O28" s="135"/>
      <c r="P28" s="135">
        <f t="shared" si="12"/>
        <v>6675.71</v>
      </c>
      <c r="Q28" s="135">
        <f t="shared" si="13"/>
        <v>8355.6299999999992</v>
      </c>
      <c r="R28" s="135">
        <f t="shared" si="24"/>
        <v>15031.34</v>
      </c>
      <c r="S28" s="136"/>
      <c r="T28" s="135">
        <f t="shared" si="14"/>
        <v>203.48000000000138</v>
      </c>
      <c r="U28" s="137">
        <f t="shared" si="15"/>
        <v>1.3722816374041932E-2</v>
      </c>
      <c r="V28" s="135"/>
      <c r="W28" s="135">
        <f t="shared" si="16"/>
        <v>6661.92</v>
      </c>
      <c r="X28" s="135">
        <f t="shared" si="17"/>
        <v>8355.6299999999992</v>
      </c>
      <c r="Y28" s="135">
        <f t="shared" si="25"/>
        <v>15017.55</v>
      </c>
      <c r="Z28" s="136"/>
      <c r="AA28" s="135">
        <f t="shared" si="18"/>
        <v>-13.790000000000873</v>
      </c>
      <c r="AB28" s="137">
        <f t="shared" si="19"/>
        <v>-9.1741654436669473E-4</v>
      </c>
    </row>
    <row r="29" spans="1:29" x14ac:dyDescent="0.3">
      <c r="A29" s="1">
        <f t="shared" si="0"/>
        <v>29</v>
      </c>
      <c r="B29" s="31"/>
      <c r="C29" s="105">
        <v>260</v>
      </c>
      <c r="D29" s="106">
        <f t="shared" si="26"/>
        <v>115700</v>
      </c>
      <c r="E29" s="135">
        <f t="shared" si="7"/>
        <v>8464.4</v>
      </c>
      <c r="F29" s="135">
        <f t="shared" si="8"/>
        <v>14015.9</v>
      </c>
      <c r="G29" s="135">
        <f t="shared" si="20"/>
        <v>22480.3</v>
      </c>
      <c r="H29" s="136"/>
      <c r="I29" s="135">
        <f t="shared" si="9"/>
        <v>10606.01</v>
      </c>
      <c r="J29" s="135">
        <f t="shared" si="10"/>
        <v>14015.9</v>
      </c>
      <c r="K29" s="135">
        <f t="shared" si="21"/>
        <v>24621.91</v>
      </c>
      <c r="L29" s="136"/>
      <c r="M29" s="135">
        <f t="shared" si="22"/>
        <v>2141.6100000000006</v>
      </c>
      <c r="N29" s="137">
        <f t="shared" si="23"/>
        <v>9.5266077409999012E-2</v>
      </c>
      <c r="O29" s="135"/>
      <c r="P29" s="135">
        <f t="shared" si="12"/>
        <v>10947.32</v>
      </c>
      <c r="Q29" s="135">
        <f t="shared" si="13"/>
        <v>14015.9</v>
      </c>
      <c r="R29" s="135">
        <f t="shared" si="24"/>
        <v>24963.22</v>
      </c>
      <c r="S29" s="136"/>
      <c r="T29" s="135">
        <f t="shared" si="14"/>
        <v>341.31000000000131</v>
      </c>
      <c r="U29" s="137">
        <f t="shared" si="15"/>
        <v>1.3862044008771102E-2</v>
      </c>
      <c r="V29" s="135"/>
      <c r="W29" s="135">
        <f t="shared" si="16"/>
        <v>10924.18</v>
      </c>
      <c r="X29" s="135">
        <f t="shared" si="17"/>
        <v>14015.9</v>
      </c>
      <c r="Y29" s="135">
        <f t="shared" si="25"/>
        <v>24940.080000000002</v>
      </c>
      <c r="Z29" s="136"/>
      <c r="AA29" s="135">
        <f t="shared" si="18"/>
        <v>-23.139999999999418</v>
      </c>
      <c r="AB29" s="137">
        <f t="shared" si="19"/>
        <v>-9.2696374906760498E-4</v>
      </c>
    </row>
    <row r="30" spans="1:29" x14ac:dyDescent="0.3">
      <c r="A30" s="1">
        <f t="shared" si="0"/>
        <v>30</v>
      </c>
      <c r="B30" s="31"/>
      <c r="C30" s="105">
        <v>380</v>
      </c>
      <c r="D30" s="106">
        <f t="shared" si="26"/>
        <v>169100</v>
      </c>
      <c r="E30" s="135">
        <f t="shared" si="7"/>
        <v>12200.27</v>
      </c>
      <c r="F30" s="135">
        <f t="shared" si="8"/>
        <v>20484.77</v>
      </c>
      <c r="G30" s="135">
        <f t="shared" si="20"/>
        <v>32685.040000000001</v>
      </c>
      <c r="H30" s="136"/>
      <c r="I30" s="135">
        <f t="shared" si="9"/>
        <v>15330.32</v>
      </c>
      <c r="J30" s="135">
        <f t="shared" si="10"/>
        <v>20484.77</v>
      </c>
      <c r="K30" s="135">
        <f t="shared" si="21"/>
        <v>35815.089999999997</v>
      </c>
      <c r="L30" s="136"/>
      <c r="M30" s="135">
        <f t="shared" si="22"/>
        <v>3130.0499999999956</v>
      </c>
      <c r="N30" s="137">
        <f t="shared" si="23"/>
        <v>9.5763994781710396E-2</v>
      </c>
      <c r="O30" s="135"/>
      <c r="P30" s="135">
        <f t="shared" si="12"/>
        <v>15829.16</v>
      </c>
      <c r="Q30" s="135">
        <f t="shared" si="13"/>
        <v>20484.77</v>
      </c>
      <c r="R30" s="135">
        <f t="shared" si="24"/>
        <v>36313.93</v>
      </c>
      <c r="S30" s="136"/>
      <c r="T30" s="135">
        <f t="shared" si="14"/>
        <v>498.84000000000378</v>
      </c>
      <c r="U30" s="137">
        <f t="shared" si="15"/>
        <v>1.3928207356173162E-2</v>
      </c>
      <c r="V30" s="135"/>
      <c r="W30" s="135">
        <f t="shared" si="16"/>
        <v>15795.34</v>
      </c>
      <c r="X30" s="135">
        <f t="shared" si="17"/>
        <v>20484.77</v>
      </c>
      <c r="Y30" s="135">
        <f t="shared" si="25"/>
        <v>36280.11</v>
      </c>
      <c r="Z30" s="136"/>
      <c r="AA30" s="135">
        <f t="shared" si="18"/>
        <v>-33.819999999999709</v>
      </c>
      <c r="AB30" s="137">
        <f t="shared" si="19"/>
        <v>-9.313230487584161E-4</v>
      </c>
    </row>
    <row r="31" spans="1:29" x14ac:dyDescent="0.3">
      <c r="A31" s="1">
        <f t="shared" si="0"/>
        <v>31</v>
      </c>
      <c r="B31" s="31"/>
      <c r="C31" s="105">
        <v>500</v>
      </c>
      <c r="D31" s="106">
        <f t="shared" si="26"/>
        <v>222500</v>
      </c>
      <c r="E31" s="135">
        <f>ROUND($G$84+$C31*$G$85+$D31*$G$86,2)</f>
        <v>15936.15</v>
      </c>
      <c r="F31" s="135">
        <f>ROUND($G$87*D31,2)</f>
        <v>26953.65</v>
      </c>
      <c r="G31" s="135">
        <f t="shared" si="20"/>
        <v>42889.8</v>
      </c>
      <c r="H31" s="136"/>
      <c r="I31" s="135">
        <f t="shared" si="9"/>
        <v>20054.63</v>
      </c>
      <c r="J31" s="135">
        <f>ROUND($I$87*D31,2)</f>
        <v>26953.65</v>
      </c>
      <c r="K31" s="135">
        <f t="shared" si="21"/>
        <v>47008.28</v>
      </c>
      <c r="L31" s="136"/>
      <c r="M31" s="135">
        <f t="shared" si="22"/>
        <v>4118.4799999999959</v>
      </c>
      <c r="N31" s="137">
        <f t="shared" si="23"/>
        <v>9.6024695848430056E-2</v>
      </c>
      <c r="O31" s="135"/>
      <c r="P31" s="135">
        <f>ROUND($J$84+$C31*$J$85+$D31*$J$86,2)</f>
        <v>20711</v>
      </c>
      <c r="Q31" s="135">
        <f>ROUND($J$87*D31,2)</f>
        <v>26953.65</v>
      </c>
      <c r="R31" s="135">
        <f t="shared" si="24"/>
        <v>47664.65</v>
      </c>
      <c r="S31" s="136"/>
      <c r="T31" s="135">
        <f t="shared" si="14"/>
        <v>656.37000000000262</v>
      </c>
      <c r="U31" s="137">
        <f t="shared" si="15"/>
        <v>1.3962859309040931E-2</v>
      </c>
      <c r="V31" s="135"/>
      <c r="W31" s="135">
        <f t="shared" si="16"/>
        <v>20666.5</v>
      </c>
      <c r="X31" s="135">
        <f t="shared" si="17"/>
        <v>26953.65</v>
      </c>
      <c r="Y31" s="135">
        <f t="shared" si="25"/>
        <v>47620.15</v>
      </c>
      <c r="Z31" s="136"/>
      <c r="AA31" s="135">
        <f t="shared" si="18"/>
        <v>-44.5</v>
      </c>
      <c r="AB31" s="137">
        <f t="shared" si="19"/>
        <v>-9.3360593227895304E-4</v>
      </c>
      <c r="AC31" s="17"/>
    </row>
    <row r="32" spans="1:29" x14ac:dyDescent="0.3">
      <c r="A32" s="1">
        <f t="shared" si="0"/>
        <v>32</v>
      </c>
      <c r="B32" s="31"/>
      <c r="C32" s="105">
        <v>700</v>
      </c>
      <c r="D32" s="106">
        <f t="shared" si="26"/>
        <v>311500</v>
      </c>
      <c r="E32" s="135">
        <f t="shared" si="7"/>
        <v>22162.61</v>
      </c>
      <c r="F32" s="135">
        <f t="shared" si="8"/>
        <v>37735.11</v>
      </c>
      <c r="G32" s="135">
        <f t="shared" si="20"/>
        <v>59897.72</v>
      </c>
      <c r="H32" s="136"/>
      <c r="I32" s="135">
        <f>ROUND($I$84+$C32*$I$85+$D32*$I$86,2)</f>
        <v>27928.48</v>
      </c>
      <c r="J32" s="135">
        <f t="shared" si="10"/>
        <v>37735.11</v>
      </c>
      <c r="K32" s="135">
        <f t="shared" si="21"/>
        <v>65663.59</v>
      </c>
      <c r="L32" s="136"/>
      <c r="M32" s="135">
        <f t="shared" si="22"/>
        <v>5765.8699999999953</v>
      </c>
      <c r="N32" s="137">
        <f t="shared" si="23"/>
        <v>9.6261927832979211E-2</v>
      </c>
      <c r="O32" s="135"/>
      <c r="P32" s="135">
        <f t="shared" si="12"/>
        <v>28847.4</v>
      </c>
      <c r="Q32" s="135">
        <f>ROUND($J$87*D32,2)</f>
        <v>37735.11</v>
      </c>
      <c r="R32" s="135">
        <f t="shared" si="24"/>
        <v>66582.510000000009</v>
      </c>
      <c r="S32" s="136"/>
      <c r="T32" s="135">
        <f t="shared" si="14"/>
        <v>918.92000000001281</v>
      </c>
      <c r="U32" s="137">
        <f t="shared" si="15"/>
        <v>1.399436125865206E-2</v>
      </c>
      <c r="V32" s="135"/>
      <c r="W32" s="135">
        <f t="shared" si="16"/>
        <v>28785.1</v>
      </c>
      <c r="X32" s="135">
        <f>ROUND($K$87*D32,2)</f>
        <v>37735.11</v>
      </c>
      <c r="Y32" s="135">
        <f t="shared" si="25"/>
        <v>66520.209999999992</v>
      </c>
      <c r="Z32" s="136"/>
      <c r="AA32" s="135">
        <f t="shared" si="18"/>
        <v>-62.300000000017462</v>
      </c>
      <c r="AB32" s="137">
        <f t="shared" si="19"/>
        <v>-9.3568115710893822E-4</v>
      </c>
      <c r="AC32" s="17"/>
    </row>
    <row r="33" spans="1:29" x14ac:dyDescent="0.3">
      <c r="A33" s="1">
        <f t="shared" si="0"/>
        <v>33</v>
      </c>
      <c r="B33" s="31"/>
      <c r="C33" s="105">
        <v>950</v>
      </c>
      <c r="D33" s="106">
        <f t="shared" si="26"/>
        <v>422750</v>
      </c>
      <c r="E33" s="135">
        <f t="shared" si="7"/>
        <v>29945.69</v>
      </c>
      <c r="F33" s="135">
        <f t="shared" si="8"/>
        <v>51211.94</v>
      </c>
      <c r="G33" s="135">
        <f t="shared" si="20"/>
        <v>81157.63</v>
      </c>
      <c r="H33" s="136"/>
      <c r="I33" s="135">
        <f t="shared" si="9"/>
        <v>37770.79</v>
      </c>
      <c r="J33" s="135">
        <f t="shared" si="10"/>
        <v>51211.94</v>
      </c>
      <c r="K33" s="135">
        <f t="shared" si="21"/>
        <v>88982.73000000001</v>
      </c>
      <c r="L33" s="136"/>
      <c r="M33" s="135">
        <f t="shared" si="22"/>
        <v>7825.1000000000058</v>
      </c>
      <c r="N33" s="137">
        <f t="shared" si="23"/>
        <v>9.6418537603919746E-2</v>
      </c>
      <c r="O33" s="135"/>
      <c r="P33" s="135">
        <f>ROUND($J$84+$C33*$J$85+$D33*$J$86,2)</f>
        <v>39017.9</v>
      </c>
      <c r="Q33" s="135">
        <f t="shared" si="13"/>
        <v>51211.94</v>
      </c>
      <c r="R33" s="135">
        <f t="shared" si="24"/>
        <v>90229.84</v>
      </c>
      <c r="S33" s="136"/>
      <c r="T33" s="135">
        <f t="shared" si="14"/>
        <v>1247.109999999986</v>
      </c>
      <c r="U33" s="137">
        <f t="shared" si="15"/>
        <v>1.4015191487156955E-2</v>
      </c>
      <c r="V33" s="135"/>
      <c r="W33" s="135">
        <f>ROUND($K$84+$C33*$K$85+$D33*$K$86,2)</f>
        <v>38933.35</v>
      </c>
      <c r="X33" s="135">
        <f t="shared" si="17"/>
        <v>51211.94</v>
      </c>
      <c r="Y33" s="135">
        <f t="shared" si="25"/>
        <v>90145.290000000008</v>
      </c>
      <c r="Z33" s="136"/>
      <c r="AA33" s="135">
        <f t="shared" si="18"/>
        <v>-84.549999999988358</v>
      </c>
      <c r="AB33" s="137">
        <f t="shared" si="19"/>
        <v>-9.3705142334274741E-4</v>
      </c>
      <c r="AC33" s="17"/>
    </row>
    <row r="34" spans="1:29" x14ac:dyDescent="0.3">
      <c r="A34" s="1">
        <f t="shared" si="0"/>
        <v>34</v>
      </c>
      <c r="B34" s="31"/>
      <c r="C34" s="105">
        <v>1400</v>
      </c>
      <c r="D34" s="106">
        <f t="shared" si="26"/>
        <v>623000</v>
      </c>
      <c r="E34" s="135">
        <f t="shared" si="7"/>
        <v>43955.22</v>
      </c>
      <c r="F34" s="135">
        <f t="shared" si="8"/>
        <v>75470.22</v>
      </c>
      <c r="G34" s="135">
        <f t="shared" si="20"/>
        <v>119425.44</v>
      </c>
      <c r="H34" s="136"/>
      <c r="I34" s="135">
        <f t="shared" si="9"/>
        <v>55486.95</v>
      </c>
      <c r="J34" s="135">
        <f t="shared" si="10"/>
        <v>75470.22</v>
      </c>
      <c r="K34" s="135">
        <f t="shared" si="21"/>
        <v>130957.17</v>
      </c>
      <c r="L34" s="136"/>
      <c r="M34" s="135">
        <f t="shared" si="22"/>
        <v>11531.729999999996</v>
      </c>
      <c r="N34" s="137">
        <f t="shared" si="23"/>
        <v>9.6560079661418843E-2</v>
      </c>
      <c r="O34" s="135"/>
      <c r="P34" s="135">
        <f t="shared" si="12"/>
        <v>57324.800000000003</v>
      </c>
      <c r="Q34" s="135">
        <f t="shared" si="13"/>
        <v>75470.22</v>
      </c>
      <c r="R34" s="135">
        <f t="shared" si="24"/>
        <v>132795.02000000002</v>
      </c>
      <c r="S34" s="136"/>
      <c r="T34" s="135">
        <f t="shared" si="14"/>
        <v>1837.8500000000204</v>
      </c>
      <c r="U34" s="137">
        <f t="shared" si="15"/>
        <v>1.4033977673769373E-2</v>
      </c>
      <c r="V34" s="135"/>
      <c r="W34" s="135">
        <f>ROUND($K$84+$C34*$K$85+$D34*$K$86,2)</f>
        <v>57200.2</v>
      </c>
      <c r="X34" s="135">
        <f t="shared" si="17"/>
        <v>75470.22</v>
      </c>
      <c r="Y34" s="135">
        <f t="shared" si="25"/>
        <v>132670.41999999998</v>
      </c>
      <c r="Z34" s="136"/>
      <c r="AA34" s="135">
        <f t="shared" si="18"/>
        <v>-124.60000000003492</v>
      </c>
      <c r="AB34" s="137">
        <f t="shared" si="19"/>
        <v>-9.3828819785587525E-4</v>
      </c>
      <c r="AC34" s="17"/>
    </row>
    <row r="35" spans="1:29" x14ac:dyDescent="0.3">
      <c r="A35" s="1">
        <f t="shared" si="0"/>
        <v>35</v>
      </c>
      <c r="B35" s="31"/>
      <c r="C35" s="106">
        <v>3000</v>
      </c>
      <c r="D35" s="106">
        <f t="shared" si="26"/>
        <v>1335000</v>
      </c>
      <c r="E35" s="135">
        <f t="shared" si="7"/>
        <v>93766.9</v>
      </c>
      <c r="F35" s="135">
        <f t="shared" si="8"/>
        <v>161721.9</v>
      </c>
      <c r="G35" s="135">
        <f t="shared" si="20"/>
        <v>255488.8</v>
      </c>
      <c r="H35" s="136"/>
      <c r="I35" s="135">
        <f t="shared" si="9"/>
        <v>118477.75</v>
      </c>
      <c r="J35" s="135">
        <f t="shared" si="10"/>
        <v>161721.9</v>
      </c>
      <c r="K35" s="135">
        <f t="shared" si="21"/>
        <v>280199.65000000002</v>
      </c>
      <c r="L35" s="136"/>
      <c r="M35" s="135">
        <f t="shared" si="22"/>
        <v>24710.850000000035</v>
      </c>
      <c r="N35" s="137">
        <f t="shared" si="23"/>
        <v>9.671989535353423E-2</v>
      </c>
      <c r="O35" s="135"/>
      <c r="P35" s="135">
        <f t="shared" si="12"/>
        <v>122416</v>
      </c>
      <c r="Q35" s="135">
        <f t="shared" si="13"/>
        <v>161721.9</v>
      </c>
      <c r="R35" s="135">
        <f t="shared" si="24"/>
        <v>284137.90000000002</v>
      </c>
      <c r="S35" s="136"/>
      <c r="T35" s="135">
        <f t="shared" si="14"/>
        <v>3938.25</v>
      </c>
      <c r="U35" s="137">
        <f t="shared" si="15"/>
        <v>1.4055156742701141E-2</v>
      </c>
      <c r="V35" s="135"/>
      <c r="W35" s="135">
        <f t="shared" si="16"/>
        <v>122149</v>
      </c>
      <c r="X35" s="135">
        <f t="shared" si="17"/>
        <v>161721.9</v>
      </c>
      <c r="Y35" s="135">
        <f t="shared" si="25"/>
        <v>283870.90000000002</v>
      </c>
      <c r="Z35" s="136"/>
      <c r="AA35" s="135">
        <f t="shared" si="18"/>
        <v>-267</v>
      </c>
      <c r="AB35" s="137">
        <f t="shared" si="19"/>
        <v>-9.3968456865486786E-4</v>
      </c>
      <c r="AC35" s="17"/>
    </row>
    <row r="36" spans="1:29" x14ac:dyDescent="0.3">
      <c r="A36" s="1">
        <f t="shared" si="0"/>
        <v>36</v>
      </c>
      <c r="B36" s="31" t="s">
        <v>52</v>
      </c>
      <c r="C36" s="106">
        <v>828</v>
      </c>
      <c r="D36" s="106">
        <f t="shared" si="26"/>
        <v>368460</v>
      </c>
      <c r="E36" s="135">
        <f t="shared" si="7"/>
        <v>26147.54</v>
      </c>
      <c r="F36" s="135">
        <f t="shared" si="8"/>
        <v>44635.24</v>
      </c>
      <c r="G36" s="135">
        <f t="shared" si="20"/>
        <v>70782.78</v>
      </c>
      <c r="H36" s="136"/>
      <c r="I36" s="135">
        <f t="shared" si="9"/>
        <v>32967.74</v>
      </c>
      <c r="J36" s="135">
        <f t="shared" si="10"/>
        <v>44635.24</v>
      </c>
      <c r="K36" s="135">
        <f t="shared" si="21"/>
        <v>77602.98</v>
      </c>
      <c r="L36" s="136"/>
      <c r="M36" s="135">
        <f t="shared" si="22"/>
        <v>6820.1999999999971</v>
      </c>
      <c r="N36" s="137">
        <f t="shared" si="23"/>
        <v>9.6353943713428564E-2</v>
      </c>
      <c r="O36" s="135"/>
      <c r="P36" s="135">
        <f t="shared" si="12"/>
        <v>34054.699999999997</v>
      </c>
      <c r="Q36" s="135">
        <f t="shared" si="13"/>
        <v>44635.24</v>
      </c>
      <c r="R36" s="135">
        <f t="shared" si="24"/>
        <v>78689.94</v>
      </c>
      <c r="S36" s="136"/>
      <c r="T36" s="135">
        <f t="shared" si="14"/>
        <v>1086.9600000000064</v>
      </c>
      <c r="U36" s="137">
        <f t="shared" si="15"/>
        <v>1.4006678609507089E-2</v>
      </c>
      <c r="V36" s="135"/>
      <c r="W36" s="135">
        <f t="shared" si="16"/>
        <v>33981</v>
      </c>
      <c r="X36" s="135">
        <f t="shared" si="17"/>
        <v>44635.24</v>
      </c>
      <c r="Y36" s="135">
        <f t="shared" si="25"/>
        <v>78616.239999999991</v>
      </c>
      <c r="Z36" s="136"/>
      <c r="AA36" s="135">
        <f t="shared" si="18"/>
        <v>-73.700000000011642</v>
      </c>
      <c r="AB36" s="137">
        <f t="shared" si="19"/>
        <v>-9.3658731980239963E-4</v>
      </c>
      <c r="AC36" s="17"/>
    </row>
    <row r="37" spans="1:29" x14ac:dyDescent="0.3">
      <c r="A37" s="1">
        <f t="shared" si="0"/>
        <v>37</v>
      </c>
      <c r="B37" s="31"/>
      <c r="C37" s="106"/>
      <c r="D37" s="106"/>
      <c r="E37" s="135"/>
      <c r="F37" s="135"/>
      <c r="G37" s="135"/>
      <c r="H37" s="136"/>
      <c r="I37" s="135"/>
      <c r="J37" s="135"/>
      <c r="K37" s="135"/>
      <c r="L37" s="136"/>
      <c r="M37" s="135"/>
      <c r="N37" s="137"/>
      <c r="O37" s="135"/>
      <c r="P37" s="135"/>
      <c r="Q37" s="135"/>
      <c r="R37" s="135"/>
      <c r="S37" s="136"/>
      <c r="T37" s="135"/>
      <c r="U37" s="137"/>
      <c r="V37" s="135"/>
      <c r="W37" s="135"/>
      <c r="X37" s="135"/>
      <c r="Y37" s="135"/>
      <c r="Z37" s="136"/>
      <c r="AA37" s="135"/>
      <c r="AB37" s="137"/>
      <c r="AC37" s="17"/>
    </row>
    <row r="38" spans="1:29" x14ac:dyDescent="0.3">
      <c r="A38" s="1">
        <f t="shared" si="0"/>
        <v>38</v>
      </c>
      <c r="B38" s="31"/>
      <c r="C38" s="196" t="s">
        <v>206</v>
      </c>
      <c r="D38" s="106">
        <v>580</v>
      </c>
      <c r="E38" s="135"/>
      <c r="F38" s="135"/>
      <c r="G38" s="135"/>
      <c r="H38" s="136"/>
      <c r="I38" s="135"/>
      <c r="J38" s="135"/>
      <c r="K38" s="135"/>
      <c r="L38" s="136"/>
      <c r="M38" s="135"/>
      <c r="N38" s="137"/>
      <c r="O38" s="135"/>
      <c r="P38" s="135"/>
      <c r="Q38" s="135"/>
      <c r="R38" s="135"/>
      <c r="S38" s="136"/>
      <c r="T38" s="135"/>
      <c r="U38" s="137"/>
      <c r="V38" s="135"/>
      <c r="W38" s="135"/>
      <c r="X38" s="135"/>
      <c r="Y38" s="135"/>
      <c r="Z38" s="136"/>
      <c r="AA38" s="135"/>
      <c r="AB38" s="137"/>
      <c r="AC38" s="17"/>
    </row>
    <row r="39" spans="1:29" x14ac:dyDescent="0.3">
      <c r="A39" s="1">
        <f t="shared" si="0"/>
        <v>39</v>
      </c>
      <c r="B39" s="31"/>
      <c r="C39" s="106">
        <v>110</v>
      </c>
      <c r="D39" s="106">
        <f>C39*$D$38</f>
        <v>63800</v>
      </c>
      <c r="E39" s="135">
        <f t="shared" si="7"/>
        <v>3915.43</v>
      </c>
      <c r="F39" s="135">
        <f t="shared" si="8"/>
        <v>7728.73</v>
      </c>
      <c r="G39" s="135">
        <f t="shared" ref="G39:G48" si="27">SUM(E39:F39)</f>
        <v>11644.16</v>
      </c>
      <c r="H39" s="136"/>
      <c r="I39" s="135">
        <f t="shared" si="9"/>
        <v>5096.37</v>
      </c>
      <c r="J39" s="135">
        <f t="shared" si="10"/>
        <v>7728.73</v>
      </c>
      <c r="K39" s="135">
        <f t="shared" ref="K39:K48" si="28">SUM(I39:J39)</f>
        <v>12825.099999999999</v>
      </c>
      <c r="L39" s="136"/>
      <c r="M39" s="135">
        <f t="shared" ref="M39:M48" si="29">+K39-G39</f>
        <v>1180.9399999999987</v>
      </c>
      <c r="N39" s="137">
        <f t="shared" ref="N39:N48" si="30">+M39/G39</f>
        <v>0.10141908046608761</v>
      </c>
      <c r="O39" s="135"/>
      <c r="P39" s="135">
        <f t="shared" si="12"/>
        <v>5284.58</v>
      </c>
      <c r="Q39" s="135">
        <f t="shared" si="13"/>
        <v>7728.73</v>
      </c>
      <c r="R39" s="135">
        <f t="shared" ref="R39:R48" si="31">SUM(P39:Q39)</f>
        <v>13013.31</v>
      </c>
      <c r="S39" s="136"/>
      <c r="T39" s="135">
        <f t="shared" si="14"/>
        <v>188.21000000000095</v>
      </c>
      <c r="U39" s="137">
        <f t="shared" si="15"/>
        <v>1.4675129238758447E-2</v>
      </c>
      <c r="V39" s="135"/>
      <c r="W39" s="135">
        <f t="shared" si="16"/>
        <v>5271.82</v>
      </c>
      <c r="X39" s="135">
        <f t="shared" si="17"/>
        <v>7728.73</v>
      </c>
      <c r="Y39" s="135">
        <f t="shared" ref="Y39:Y48" si="32">SUM(W39:X39)</f>
        <v>13000.55</v>
      </c>
      <c r="Z39" s="136"/>
      <c r="AA39" s="135">
        <f t="shared" si="18"/>
        <v>-12.760000000000218</v>
      </c>
      <c r="AB39" s="137">
        <f t="shared" si="19"/>
        <v>-9.8053454501585051E-4</v>
      </c>
      <c r="AC39" s="17"/>
    </row>
    <row r="40" spans="1:29" x14ac:dyDescent="0.3">
      <c r="A40" s="1">
        <f t="shared" si="0"/>
        <v>40</v>
      </c>
      <c r="B40" s="31"/>
      <c r="C40" s="106">
        <v>275</v>
      </c>
      <c r="D40" s="106">
        <f t="shared" ref="D40:D48" si="33">C40*$D$38</f>
        <v>159500</v>
      </c>
      <c r="E40" s="135">
        <f t="shared" si="7"/>
        <v>9233.58</v>
      </c>
      <c r="F40" s="135">
        <f t="shared" si="8"/>
        <v>19321.830000000002</v>
      </c>
      <c r="G40" s="135">
        <f t="shared" si="27"/>
        <v>28555.410000000003</v>
      </c>
      <c r="H40" s="136"/>
      <c r="I40" s="135">
        <f t="shared" si="9"/>
        <v>12185.93</v>
      </c>
      <c r="J40" s="135">
        <f t="shared" si="10"/>
        <v>19321.830000000002</v>
      </c>
      <c r="K40" s="135">
        <f t="shared" si="28"/>
        <v>31507.760000000002</v>
      </c>
      <c r="L40" s="136"/>
      <c r="M40" s="135">
        <f t="shared" si="29"/>
        <v>2952.3499999999985</v>
      </c>
      <c r="N40" s="137">
        <f t="shared" si="30"/>
        <v>0.10339021572444584</v>
      </c>
      <c r="O40" s="135"/>
      <c r="P40" s="135">
        <f t="shared" si="12"/>
        <v>12656.45</v>
      </c>
      <c r="Q40" s="135">
        <f t="shared" si="13"/>
        <v>19321.830000000002</v>
      </c>
      <c r="R40" s="135">
        <f t="shared" si="31"/>
        <v>31978.280000000002</v>
      </c>
      <c r="S40" s="136"/>
      <c r="T40" s="135">
        <f t="shared" si="14"/>
        <v>470.52000000000044</v>
      </c>
      <c r="U40" s="137">
        <f t="shared" si="15"/>
        <v>1.4933464010135929E-2</v>
      </c>
      <c r="V40" s="135"/>
      <c r="W40" s="135">
        <f t="shared" si="16"/>
        <v>12624.55</v>
      </c>
      <c r="X40" s="135">
        <f t="shared" si="17"/>
        <v>19321.830000000002</v>
      </c>
      <c r="Y40" s="135">
        <f t="shared" si="32"/>
        <v>31946.38</v>
      </c>
      <c r="Z40" s="136"/>
      <c r="AA40" s="135">
        <f t="shared" si="18"/>
        <v>-31.900000000001455</v>
      </c>
      <c r="AB40" s="137">
        <f t="shared" si="19"/>
        <v>-9.9755208848010136E-4</v>
      </c>
      <c r="AC40" s="17"/>
    </row>
    <row r="41" spans="1:29" x14ac:dyDescent="0.3">
      <c r="A41" s="1">
        <f t="shared" si="0"/>
        <v>41</v>
      </c>
      <c r="B41" s="31"/>
      <c r="C41" s="106">
        <v>410</v>
      </c>
      <c r="D41" s="106">
        <f t="shared" si="33"/>
        <v>237800</v>
      </c>
      <c r="E41" s="135">
        <f t="shared" si="7"/>
        <v>13584.79</v>
      </c>
      <c r="F41" s="135">
        <f t="shared" si="8"/>
        <v>28807.09</v>
      </c>
      <c r="G41" s="135">
        <f t="shared" si="27"/>
        <v>42391.880000000005</v>
      </c>
      <c r="H41" s="136"/>
      <c r="I41" s="135">
        <f t="shared" si="9"/>
        <v>17986.47</v>
      </c>
      <c r="J41" s="135">
        <f t="shared" si="10"/>
        <v>28807.09</v>
      </c>
      <c r="K41" s="135">
        <f t="shared" si="28"/>
        <v>46793.56</v>
      </c>
      <c r="L41" s="136"/>
      <c r="M41" s="135">
        <f t="shared" si="29"/>
        <v>4401.679999999993</v>
      </c>
      <c r="N41" s="137">
        <f t="shared" si="30"/>
        <v>0.10383309256395311</v>
      </c>
      <c r="O41" s="135"/>
      <c r="P41" s="135">
        <f t="shared" si="12"/>
        <v>18687.98</v>
      </c>
      <c r="Q41" s="135">
        <f t="shared" si="13"/>
        <v>28807.09</v>
      </c>
      <c r="R41" s="135">
        <f t="shared" si="31"/>
        <v>47495.07</v>
      </c>
      <c r="S41" s="136"/>
      <c r="T41" s="135">
        <f t="shared" si="14"/>
        <v>701.51000000000204</v>
      </c>
      <c r="U41" s="137">
        <f t="shared" si="15"/>
        <v>1.4991592860214143E-2</v>
      </c>
      <c r="V41" s="135"/>
      <c r="W41" s="135">
        <f t="shared" si="16"/>
        <v>18640.419999999998</v>
      </c>
      <c r="X41" s="135">
        <f t="shared" si="17"/>
        <v>28807.09</v>
      </c>
      <c r="Y41" s="135">
        <f t="shared" si="32"/>
        <v>47447.509999999995</v>
      </c>
      <c r="Z41" s="136"/>
      <c r="AA41" s="135">
        <f t="shared" si="18"/>
        <v>-47.560000000004948</v>
      </c>
      <c r="AB41" s="137">
        <f t="shared" si="19"/>
        <v>-1.0013670892579998E-3</v>
      </c>
      <c r="AC41" s="17"/>
    </row>
    <row r="42" spans="1:29" x14ac:dyDescent="0.3">
      <c r="A42" s="1">
        <f t="shared" si="0"/>
        <v>42</v>
      </c>
      <c r="B42" s="31"/>
      <c r="C42" s="106">
        <v>580</v>
      </c>
      <c r="D42" s="106">
        <f t="shared" si="33"/>
        <v>336400</v>
      </c>
      <c r="E42" s="135">
        <f t="shared" si="7"/>
        <v>19064.099999999999</v>
      </c>
      <c r="F42" s="135">
        <f t="shared" si="8"/>
        <v>40751.5</v>
      </c>
      <c r="G42" s="135">
        <f t="shared" si="27"/>
        <v>59815.6</v>
      </c>
      <c r="H42" s="136"/>
      <c r="I42" s="135">
        <f t="shared" si="9"/>
        <v>25290.86</v>
      </c>
      <c r="J42" s="135">
        <f>ROUND($I$87*D42,2)</f>
        <v>40751.5</v>
      </c>
      <c r="K42" s="135">
        <f t="shared" si="28"/>
        <v>66042.36</v>
      </c>
      <c r="L42" s="136"/>
      <c r="M42" s="135">
        <f t="shared" si="29"/>
        <v>6226.760000000002</v>
      </c>
      <c r="N42" s="137">
        <f t="shared" si="30"/>
        <v>0.10409926507466283</v>
      </c>
      <c r="O42" s="135"/>
      <c r="P42" s="135">
        <f>ROUND($J$84+$C42*$J$85+$D42*$J$86,2)</f>
        <v>26283.24</v>
      </c>
      <c r="Q42" s="135">
        <f>ROUND($J$87*D42,2)</f>
        <v>40751.5</v>
      </c>
      <c r="R42" s="135">
        <f t="shared" si="31"/>
        <v>67034.740000000005</v>
      </c>
      <c r="S42" s="136"/>
      <c r="T42" s="135">
        <f t="shared" si="14"/>
        <v>992.38000000000466</v>
      </c>
      <c r="U42" s="137">
        <f t="shared" si="15"/>
        <v>1.5026416378821178E-2</v>
      </c>
      <c r="V42" s="135"/>
      <c r="W42" s="135">
        <f t="shared" si="16"/>
        <v>26215.96</v>
      </c>
      <c r="X42" s="135">
        <f>ROUND($K$87*D42,2)</f>
        <v>40751.5</v>
      </c>
      <c r="Y42" s="135">
        <f t="shared" si="32"/>
        <v>66967.459999999992</v>
      </c>
      <c r="Z42" s="136"/>
      <c r="AA42" s="135">
        <f t="shared" si="18"/>
        <v>-67.280000000013388</v>
      </c>
      <c r="AB42" s="137">
        <f t="shared" si="19"/>
        <v>-1.0036586999518963E-3</v>
      </c>
      <c r="AC42" s="17"/>
    </row>
    <row r="43" spans="1:29" x14ac:dyDescent="0.3">
      <c r="A43" s="1">
        <f t="shared" si="0"/>
        <v>43</v>
      </c>
      <c r="B43" s="31"/>
      <c r="C43" s="106">
        <v>860</v>
      </c>
      <c r="D43" s="106">
        <f t="shared" si="33"/>
        <v>498800</v>
      </c>
      <c r="E43" s="135">
        <f t="shared" si="7"/>
        <v>28088.83</v>
      </c>
      <c r="F43" s="135">
        <f>ROUND($G$87*D43,2)</f>
        <v>60424.63</v>
      </c>
      <c r="G43" s="135">
        <f t="shared" si="27"/>
        <v>88513.459999999992</v>
      </c>
      <c r="H43" s="136"/>
      <c r="I43" s="135">
        <f>ROUND($I$84+$C43*$I$85+$D43*$I$86,2)</f>
        <v>37321.620000000003</v>
      </c>
      <c r="J43" s="135">
        <f>ROUND($I$87*D43,2)</f>
        <v>60424.63</v>
      </c>
      <c r="K43" s="135">
        <f t="shared" si="28"/>
        <v>97746.25</v>
      </c>
      <c r="L43" s="136"/>
      <c r="M43" s="135">
        <f t="shared" si="29"/>
        <v>9232.7900000000081</v>
      </c>
      <c r="N43" s="137">
        <f t="shared" si="30"/>
        <v>0.10430944626952793</v>
      </c>
      <c r="O43" s="135"/>
      <c r="P43" s="135">
        <f t="shared" si="12"/>
        <v>38793.08</v>
      </c>
      <c r="Q43" s="135">
        <f t="shared" si="13"/>
        <v>60424.63</v>
      </c>
      <c r="R43" s="135">
        <f t="shared" si="31"/>
        <v>99217.709999999992</v>
      </c>
      <c r="S43" s="136"/>
      <c r="T43" s="135">
        <f t="shared" si="14"/>
        <v>1471.4599999999919</v>
      </c>
      <c r="U43" s="137">
        <f t="shared" si="15"/>
        <v>1.5053876747189707E-2</v>
      </c>
      <c r="V43" s="135"/>
      <c r="W43" s="135">
        <f>ROUND($K$84+$C43*$K$85+$D43*$K$86,2)</f>
        <v>38693.32</v>
      </c>
      <c r="X43" s="135">
        <f>ROUND($K$87*D43,2)</f>
        <v>60424.63</v>
      </c>
      <c r="Y43" s="135">
        <f t="shared" si="32"/>
        <v>99117.95</v>
      </c>
      <c r="Z43" s="136"/>
      <c r="AA43" s="135">
        <f t="shared" si="18"/>
        <v>-99.759999999994761</v>
      </c>
      <c r="AB43" s="137">
        <f t="shared" si="19"/>
        <v>-1.0054656572903646E-3</v>
      </c>
      <c r="AC43" s="17"/>
    </row>
    <row r="44" spans="1:29" x14ac:dyDescent="0.3">
      <c r="A44" s="1">
        <f t="shared" si="0"/>
        <v>44</v>
      </c>
      <c r="B44" s="31"/>
      <c r="C44" s="106">
        <v>1250</v>
      </c>
      <c r="D44" s="106">
        <f t="shared" si="33"/>
        <v>725000</v>
      </c>
      <c r="E44" s="135">
        <f>ROUND($G$84+$C44*$G$85+$D44*$G$86,2)</f>
        <v>40659</v>
      </c>
      <c r="F44" s="135">
        <f t="shared" si="8"/>
        <v>87826.5</v>
      </c>
      <c r="G44" s="135">
        <f t="shared" si="27"/>
        <v>128485.5</v>
      </c>
      <c r="H44" s="136"/>
      <c r="I44" s="135">
        <f t="shared" si="9"/>
        <v>54078.75</v>
      </c>
      <c r="J44" s="135">
        <f t="shared" si="10"/>
        <v>87826.5</v>
      </c>
      <c r="K44" s="135">
        <f t="shared" si="28"/>
        <v>141905.25</v>
      </c>
      <c r="L44" s="136"/>
      <c r="M44" s="135">
        <f t="shared" si="29"/>
        <v>13419.75</v>
      </c>
      <c r="N44" s="137">
        <f t="shared" si="30"/>
        <v>0.10444563783461946</v>
      </c>
      <c r="O44" s="135"/>
      <c r="P44" s="135">
        <f>ROUND($J$84+$C44*$J$85+$D44*$J$86,2)</f>
        <v>56217.5</v>
      </c>
      <c r="Q44" s="135">
        <f t="shared" si="13"/>
        <v>87826.5</v>
      </c>
      <c r="R44" s="135">
        <f t="shared" si="31"/>
        <v>144044</v>
      </c>
      <c r="S44" s="136"/>
      <c r="T44" s="135">
        <f t="shared" si="14"/>
        <v>2138.75</v>
      </c>
      <c r="U44" s="137">
        <f t="shared" si="15"/>
        <v>1.507167634742196E-2</v>
      </c>
      <c r="V44" s="135"/>
      <c r="W44" s="135">
        <f>ROUND($K$84+$C44*$K$85+$D44*$K$86,2)</f>
        <v>56072.5</v>
      </c>
      <c r="X44" s="135">
        <f t="shared" si="17"/>
        <v>87826.5</v>
      </c>
      <c r="Y44" s="135">
        <f t="shared" si="32"/>
        <v>143899</v>
      </c>
      <c r="Z44" s="136"/>
      <c r="AA44" s="135">
        <f t="shared" si="18"/>
        <v>-145</v>
      </c>
      <c r="AB44" s="137">
        <f t="shared" si="19"/>
        <v>-1.0066368609591514E-3</v>
      </c>
      <c r="AC44" s="17"/>
    </row>
    <row r="45" spans="1:29" x14ac:dyDescent="0.3">
      <c r="A45" s="1">
        <f t="shared" si="0"/>
        <v>45</v>
      </c>
      <c r="B45" s="31"/>
      <c r="C45" s="106">
        <v>1350</v>
      </c>
      <c r="D45" s="106">
        <f t="shared" si="33"/>
        <v>783000</v>
      </c>
      <c r="E45" s="135">
        <f t="shared" si="7"/>
        <v>43882.12</v>
      </c>
      <c r="F45" s="135">
        <f t="shared" si="8"/>
        <v>94852.62</v>
      </c>
      <c r="G45" s="135">
        <f t="shared" si="27"/>
        <v>138734.74</v>
      </c>
      <c r="H45" s="136"/>
      <c r="I45" s="135">
        <f>ROUND($I$84+$C45*$I$85+$D45*$I$86,2)</f>
        <v>58375.45</v>
      </c>
      <c r="J45" s="135">
        <f t="shared" si="10"/>
        <v>94852.62</v>
      </c>
      <c r="K45" s="135">
        <f t="shared" si="28"/>
        <v>153228.07</v>
      </c>
      <c r="L45" s="136"/>
      <c r="M45" s="135">
        <f t="shared" si="29"/>
        <v>14493.330000000016</v>
      </c>
      <c r="N45" s="137">
        <f t="shared" si="30"/>
        <v>0.10446792202155003</v>
      </c>
      <c r="O45" s="135"/>
      <c r="P45" s="135">
        <f t="shared" si="12"/>
        <v>60685.3</v>
      </c>
      <c r="Q45" s="135">
        <f>ROUND($J$87*D45,2)</f>
        <v>94852.62</v>
      </c>
      <c r="R45" s="135">
        <f t="shared" si="31"/>
        <v>155537.91999999998</v>
      </c>
      <c r="S45" s="136"/>
      <c r="T45" s="135">
        <f t="shared" si="14"/>
        <v>2309.8499999999767</v>
      </c>
      <c r="U45" s="137">
        <f t="shared" si="15"/>
        <v>1.5074587834983347E-2</v>
      </c>
      <c r="V45" s="135"/>
      <c r="W45" s="135">
        <f t="shared" si="16"/>
        <v>60528.7</v>
      </c>
      <c r="X45" s="135">
        <f t="shared" si="17"/>
        <v>94852.62</v>
      </c>
      <c r="Y45" s="135">
        <f t="shared" si="32"/>
        <v>155381.32</v>
      </c>
      <c r="Z45" s="136"/>
      <c r="AA45" s="135">
        <f t="shared" si="18"/>
        <v>-156.59999999997672</v>
      </c>
      <c r="AB45" s="137">
        <f t="shared" si="19"/>
        <v>-1.006828431291718E-3</v>
      </c>
      <c r="AC45" s="17"/>
    </row>
    <row r="46" spans="1:29" x14ac:dyDescent="0.3">
      <c r="A46" s="1">
        <f t="shared" si="0"/>
        <v>46</v>
      </c>
      <c r="B46" s="31"/>
      <c r="C46" s="106">
        <v>2350</v>
      </c>
      <c r="D46" s="106">
        <f t="shared" si="33"/>
        <v>1363000</v>
      </c>
      <c r="E46" s="135">
        <f t="shared" si="7"/>
        <v>76113.320000000007</v>
      </c>
      <c r="F46" s="135">
        <f t="shared" si="8"/>
        <v>165113.82</v>
      </c>
      <c r="G46" s="135">
        <f t="shared" si="27"/>
        <v>241227.14</v>
      </c>
      <c r="H46" s="136"/>
      <c r="I46" s="135">
        <f t="shared" si="9"/>
        <v>101342.45</v>
      </c>
      <c r="J46" s="135">
        <f t="shared" si="10"/>
        <v>165113.82</v>
      </c>
      <c r="K46" s="135">
        <f t="shared" si="28"/>
        <v>266456.27</v>
      </c>
      <c r="L46" s="136"/>
      <c r="M46" s="135">
        <f t="shared" si="29"/>
        <v>25229.130000000005</v>
      </c>
      <c r="N46" s="137">
        <f t="shared" si="30"/>
        <v>0.10458661492235079</v>
      </c>
      <c r="O46" s="135"/>
      <c r="P46" s="135">
        <f t="shared" si="12"/>
        <v>105363.3</v>
      </c>
      <c r="Q46" s="135">
        <f t="shared" si="13"/>
        <v>165113.82</v>
      </c>
      <c r="R46" s="135">
        <f t="shared" si="31"/>
        <v>270477.12</v>
      </c>
      <c r="S46" s="136"/>
      <c r="T46" s="135">
        <f t="shared" si="14"/>
        <v>4020.8499999999767</v>
      </c>
      <c r="U46" s="137">
        <f t="shared" si="15"/>
        <v>1.5090093395062449E-2</v>
      </c>
      <c r="V46" s="135"/>
      <c r="W46" s="135">
        <f t="shared" si="16"/>
        <v>105090.7</v>
      </c>
      <c r="X46" s="135">
        <f t="shared" si="17"/>
        <v>165113.82</v>
      </c>
      <c r="Y46" s="135">
        <f t="shared" si="32"/>
        <v>270204.52</v>
      </c>
      <c r="Z46" s="136"/>
      <c r="AA46" s="135">
        <f t="shared" si="18"/>
        <v>-272.59999999997672</v>
      </c>
      <c r="AB46" s="137">
        <f t="shared" si="19"/>
        <v>-1.0078486490834298E-3</v>
      </c>
      <c r="AC46" s="17"/>
    </row>
    <row r="47" spans="1:29" x14ac:dyDescent="0.3">
      <c r="A47" s="1">
        <f t="shared" si="0"/>
        <v>47</v>
      </c>
      <c r="B47" s="31"/>
      <c r="C47" s="106">
        <v>4700</v>
      </c>
      <c r="D47" s="106">
        <f t="shared" si="33"/>
        <v>2726000</v>
      </c>
      <c r="E47" s="135">
        <f t="shared" si="7"/>
        <v>151856.64000000001</v>
      </c>
      <c r="F47" s="135">
        <f t="shared" si="8"/>
        <v>330227.64</v>
      </c>
      <c r="G47" s="135">
        <f t="shared" si="27"/>
        <v>482084.28</v>
      </c>
      <c r="H47" s="136"/>
      <c r="I47" s="135">
        <f t="shared" si="9"/>
        <v>202314.9</v>
      </c>
      <c r="J47" s="135">
        <f t="shared" si="10"/>
        <v>330227.64</v>
      </c>
      <c r="K47" s="135">
        <f t="shared" si="28"/>
        <v>532542.54</v>
      </c>
      <c r="L47" s="136"/>
      <c r="M47" s="135">
        <f t="shared" si="29"/>
        <v>50458.260000000009</v>
      </c>
      <c r="N47" s="137">
        <f t="shared" si="30"/>
        <v>0.10466688521766361</v>
      </c>
      <c r="O47" s="135"/>
      <c r="P47" s="135">
        <f t="shared" si="12"/>
        <v>210356.6</v>
      </c>
      <c r="Q47" s="135">
        <f t="shared" si="13"/>
        <v>330227.64</v>
      </c>
      <c r="R47" s="135">
        <f t="shared" si="31"/>
        <v>540584.24</v>
      </c>
      <c r="S47" s="136"/>
      <c r="T47" s="135">
        <f t="shared" si="14"/>
        <v>8041.6999999999534</v>
      </c>
      <c r="U47" s="137">
        <f t="shared" si="15"/>
        <v>1.5100577692816714E-2</v>
      </c>
      <c r="V47" s="135"/>
      <c r="W47" s="135">
        <f t="shared" si="16"/>
        <v>209811.4</v>
      </c>
      <c r="X47" s="135">
        <f t="shared" si="17"/>
        <v>330227.64</v>
      </c>
      <c r="Y47" s="135">
        <f t="shared" si="32"/>
        <v>540039.04</v>
      </c>
      <c r="Z47" s="136"/>
      <c r="AA47" s="135">
        <f t="shared" si="18"/>
        <v>-545.19999999995343</v>
      </c>
      <c r="AB47" s="137">
        <f t="shared" si="19"/>
        <v>-1.0085384657161915E-3</v>
      </c>
      <c r="AC47" s="17"/>
    </row>
    <row r="48" spans="1:29" x14ac:dyDescent="0.3">
      <c r="A48" s="1">
        <f t="shared" si="0"/>
        <v>48</v>
      </c>
      <c r="B48" s="31" t="s">
        <v>52</v>
      </c>
      <c r="C48" s="106">
        <v>1356</v>
      </c>
      <c r="D48" s="106">
        <f t="shared" si="33"/>
        <v>786480</v>
      </c>
      <c r="E48" s="135">
        <f t="shared" si="7"/>
        <v>44075.51</v>
      </c>
      <c r="F48" s="135">
        <f t="shared" si="8"/>
        <v>95274.19</v>
      </c>
      <c r="G48" s="135">
        <f t="shared" si="27"/>
        <v>139349.70000000001</v>
      </c>
      <c r="H48" s="136"/>
      <c r="I48" s="135">
        <f t="shared" si="9"/>
        <v>58633.25</v>
      </c>
      <c r="J48" s="135">
        <f t="shared" si="10"/>
        <v>95274.19</v>
      </c>
      <c r="K48" s="135">
        <f t="shared" si="28"/>
        <v>153907.44</v>
      </c>
      <c r="L48" s="136"/>
      <c r="M48" s="135">
        <f t="shared" si="29"/>
        <v>14557.739999999991</v>
      </c>
      <c r="N48" s="137">
        <f t="shared" si="30"/>
        <v>0.10446911618754823</v>
      </c>
      <c r="O48" s="135"/>
      <c r="P48" s="135">
        <f t="shared" si="12"/>
        <v>60953.37</v>
      </c>
      <c r="Q48" s="135">
        <f t="shared" si="13"/>
        <v>95274.19</v>
      </c>
      <c r="R48" s="135">
        <f t="shared" si="31"/>
        <v>156227.56</v>
      </c>
      <c r="S48" s="136"/>
      <c r="T48" s="135">
        <f t="shared" si="14"/>
        <v>2320.1199999999953</v>
      </c>
      <c r="U48" s="137">
        <f t="shared" si="15"/>
        <v>1.5074774812705581E-2</v>
      </c>
      <c r="V48" s="135"/>
      <c r="W48" s="135">
        <f t="shared" si="16"/>
        <v>60796.07</v>
      </c>
      <c r="X48" s="135">
        <f t="shared" si="17"/>
        <v>95274.19</v>
      </c>
      <c r="Y48" s="135">
        <f t="shared" si="32"/>
        <v>156070.26</v>
      </c>
      <c r="Z48" s="136"/>
      <c r="AA48" s="135">
        <f t="shared" si="18"/>
        <v>-157.29999999998836</v>
      </c>
      <c r="AB48" s="137">
        <f t="shared" si="19"/>
        <v>-1.0068646018665873E-3</v>
      </c>
    </row>
    <row r="49" spans="1:26" x14ac:dyDescent="0.3">
      <c r="A49" s="1">
        <f t="shared" si="0"/>
        <v>49</v>
      </c>
      <c r="B49" s="31"/>
      <c r="C49" s="44"/>
      <c r="D49" s="44"/>
      <c r="E49" s="44"/>
      <c r="F49" s="44"/>
      <c r="G49" s="141"/>
      <c r="H49" s="44"/>
      <c r="Y49" s="138"/>
      <c r="Z49" s="136"/>
    </row>
    <row r="50" spans="1:26" x14ac:dyDescent="0.3">
      <c r="A50" s="1">
        <f t="shared" si="0"/>
        <v>50</v>
      </c>
      <c r="B50" s="31"/>
      <c r="C50" s="44"/>
      <c r="D50" s="44"/>
      <c r="E50" s="44"/>
      <c r="F50" s="44"/>
      <c r="G50" s="141"/>
      <c r="H50" s="44"/>
      <c r="Y50" s="138"/>
      <c r="Z50" s="136"/>
    </row>
    <row r="51" spans="1:26" x14ac:dyDescent="0.3">
      <c r="A51" s="1">
        <f t="shared" si="0"/>
        <v>51</v>
      </c>
      <c r="B51" s="31"/>
      <c r="C51" s="44" t="s">
        <v>53</v>
      </c>
      <c r="D51" s="44"/>
      <c r="E51" s="44"/>
      <c r="G51" s="45">
        <f>+'BOS G2 NEMA'!G54</f>
        <v>2024</v>
      </c>
      <c r="H51" s="45"/>
      <c r="I51" s="45">
        <f>+'BOS G2 NEMA'!I54</f>
        <v>2025</v>
      </c>
      <c r="J51" s="45">
        <f>+'BOS G2 NEMA'!J54</f>
        <v>2026</v>
      </c>
      <c r="K51" s="45">
        <f>+'BOS G2 NEMA'!K54</f>
        <v>2027</v>
      </c>
      <c r="L51" s="45"/>
      <c r="M51" s="45" t="str">
        <f>+'BOS G2 NEMA'!M54</f>
        <v>2025 v 2024</v>
      </c>
      <c r="N51" s="45" t="str">
        <f>+'BOS G2 NEMA'!N54</f>
        <v>2026 v 2025</v>
      </c>
      <c r="O51" s="45"/>
      <c r="P51" s="45" t="str">
        <f>+'BOS G2 NEMA'!P54</f>
        <v>2027 v 2026</v>
      </c>
      <c r="Y51" s="138"/>
      <c r="Z51" s="136"/>
    </row>
    <row r="52" spans="1:26" x14ac:dyDescent="0.3">
      <c r="A52" s="1">
        <f t="shared" si="0"/>
        <v>52</v>
      </c>
      <c r="B52" s="31"/>
      <c r="C52" s="23" t="s">
        <v>53</v>
      </c>
      <c r="D52" s="23"/>
      <c r="E52" s="44"/>
      <c r="G52" s="47" t="s">
        <v>57</v>
      </c>
      <c r="I52" s="47" t="s">
        <v>57</v>
      </c>
      <c r="J52" s="47" t="s">
        <v>57</v>
      </c>
      <c r="K52" s="47" t="s">
        <v>57</v>
      </c>
      <c r="L52" s="37"/>
      <c r="M52" s="48" t="s">
        <v>51</v>
      </c>
      <c r="N52" s="48" t="s">
        <v>51</v>
      </c>
      <c r="O52" s="22"/>
      <c r="P52" s="48" t="s">
        <v>51</v>
      </c>
    </row>
    <row r="53" spans="1:26" x14ac:dyDescent="0.3">
      <c r="A53" s="1">
        <f t="shared" si="0"/>
        <v>53</v>
      </c>
      <c r="B53" s="31"/>
      <c r="C53" s="44" t="s">
        <v>58</v>
      </c>
      <c r="D53" s="44"/>
      <c r="E53" s="23"/>
      <c r="G53" s="88">
        <v>370</v>
      </c>
      <c r="H53" s="88"/>
      <c r="I53" s="88">
        <f>G53</f>
        <v>370</v>
      </c>
      <c r="J53" s="88">
        <f>G53</f>
        <v>370</v>
      </c>
      <c r="K53" s="88">
        <f>G53</f>
        <v>370</v>
      </c>
      <c r="L53" s="88"/>
      <c r="M53" s="50">
        <f>+I53-G53</f>
        <v>0</v>
      </c>
      <c r="N53" s="50">
        <f>+J53-I53</f>
        <v>0</v>
      </c>
      <c r="O53" s="50"/>
      <c r="P53" s="50">
        <f>+K53-J53</f>
        <v>0</v>
      </c>
      <c r="Q53" s="89" t="s">
        <v>59</v>
      </c>
    </row>
    <row r="54" spans="1:26" x14ac:dyDescent="0.3">
      <c r="A54" s="1">
        <f t="shared" si="0"/>
        <v>54</v>
      </c>
      <c r="B54" s="31"/>
      <c r="C54" s="44" t="s">
        <v>146</v>
      </c>
      <c r="D54" s="44"/>
      <c r="E54" s="23"/>
      <c r="G54" s="88">
        <v>14.64</v>
      </c>
      <c r="H54" s="88"/>
      <c r="I54" s="88">
        <f>G54</f>
        <v>14.64</v>
      </c>
      <c r="J54" s="88">
        <f t="shared" ref="J54:J81" si="34">G54</f>
        <v>14.64</v>
      </c>
      <c r="K54" s="88">
        <f t="shared" ref="K54:K81" si="35">G54</f>
        <v>14.64</v>
      </c>
      <c r="M54" s="50">
        <f t="shared" ref="M54:M81" si="36">+I54-G54</f>
        <v>0</v>
      </c>
      <c r="N54" s="50">
        <f t="shared" ref="N54:N81" si="37">+J54-I54</f>
        <v>0</v>
      </c>
      <c r="O54" s="50"/>
      <c r="P54" s="50">
        <f t="shared" ref="P54:P81" si="38">+K54-J54</f>
        <v>0</v>
      </c>
      <c r="Q54" s="89" t="s">
        <v>59</v>
      </c>
    </row>
    <row r="55" spans="1:26" x14ac:dyDescent="0.3">
      <c r="A55" s="1">
        <f t="shared" si="0"/>
        <v>55</v>
      </c>
      <c r="B55" s="31"/>
      <c r="C55" s="44" t="s">
        <v>60</v>
      </c>
      <c r="G55" s="91">
        <v>0</v>
      </c>
      <c r="H55" s="91"/>
      <c r="I55" s="91">
        <f>G55</f>
        <v>0</v>
      </c>
      <c r="J55" s="91">
        <f t="shared" si="34"/>
        <v>0</v>
      </c>
      <c r="K55" s="91">
        <f t="shared" si="35"/>
        <v>0</v>
      </c>
      <c r="M55" s="54">
        <f t="shared" si="36"/>
        <v>0</v>
      </c>
      <c r="N55" s="54">
        <f t="shared" si="37"/>
        <v>0</v>
      </c>
      <c r="O55" s="54"/>
      <c r="P55" s="54">
        <f t="shared" si="38"/>
        <v>0</v>
      </c>
      <c r="Q55" s="89" t="s">
        <v>59</v>
      </c>
    </row>
    <row r="56" spans="1:26" x14ac:dyDescent="0.3">
      <c r="A56" s="1">
        <f t="shared" si="0"/>
        <v>56</v>
      </c>
      <c r="B56" s="31"/>
      <c r="C56" s="44" t="str">
        <f>+'BOS G2 NEMA'!C62</f>
        <v>Exogenous Cost Adjustment</v>
      </c>
      <c r="G56" s="91">
        <v>3.3E-4</v>
      </c>
      <c r="H56" s="91"/>
      <c r="I56" s="91">
        <f t="shared" ref="I56:I81" si="39">G56</f>
        <v>3.3E-4</v>
      </c>
      <c r="J56" s="91">
        <f t="shared" si="34"/>
        <v>3.3E-4</v>
      </c>
      <c r="K56" s="91">
        <f t="shared" si="35"/>
        <v>3.3E-4</v>
      </c>
      <c r="M56" s="54">
        <f t="shared" si="36"/>
        <v>0</v>
      </c>
      <c r="N56" s="54">
        <f t="shared" si="37"/>
        <v>0</v>
      </c>
      <c r="O56" s="54"/>
      <c r="P56" s="54">
        <f t="shared" si="38"/>
        <v>0</v>
      </c>
      <c r="Q56" s="89" t="str">
        <f>+'BOS G2 NEMA'!Q62</f>
        <v>ECA</v>
      </c>
    </row>
    <row r="57" spans="1:26" x14ac:dyDescent="0.3">
      <c r="A57" s="1">
        <f t="shared" si="0"/>
        <v>57</v>
      </c>
      <c r="B57" s="31"/>
      <c r="C57" s="44" t="str">
        <f>+'BOS G2 NEMA'!C63</f>
        <v>Revenue Decoupling</v>
      </c>
      <c r="G57" s="91">
        <v>2.0000000000000002E-5</v>
      </c>
      <c r="H57" s="91"/>
      <c r="I57" s="91">
        <f t="shared" si="39"/>
        <v>2.0000000000000002E-5</v>
      </c>
      <c r="J57" s="91">
        <f t="shared" si="34"/>
        <v>2.0000000000000002E-5</v>
      </c>
      <c r="K57" s="91">
        <f t="shared" si="35"/>
        <v>2.0000000000000002E-5</v>
      </c>
      <c r="L57" s="37"/>
      <c r="M57" s="54">
        <f t="shared" si="36"/>
        <v>0</v>
      </c>
      <c r="N57" s="54">
        <f t="shared" si="37"/>
        <v>0</v>
      </c>
      <c r="O57" s="54"/>
      <c r="P57" s="54">
        <f t="shared" si="38"/>
        <v>0</v>
      </c>
      <c r="Q57" s="89" t="str">
        <f>+'BOS G2 NEMA'!Q63</f>
        <v>RDAF</v>
      </c>
    </row>
    <row r="58" spans="1:26" x14ac:dyDescent="0.3">
      <c r="A58" s="1">
        <f t="shared" si="0"/>
        <v>58</v>
      </c>
      <c r="B58" s="31"/>
      <c r="C58" s="44" t="str">
        <f>+'BOS G2 NEMA'!C64</f>
        <v>Distributed Solar Charge</v>
      </c>
      <c r="G58" s="91">
        <v>2.66E-3</v>
      </c>
      <c r="H58" s="91"/>
      <c r="I58" s="91">
        <f t="shared" si="39"/>
        <v>2.66E-3</v>
      </c>
      <c r="J58" s="91">
        <f t="shared" si="34"/>
        <v>2.66E-3</v>
      </c>
      <c r="K58" s="91">
        <f t="shared" si="35"/>
        <v>2.66E-3</v>
      </c>
      <c r="M58" s="54">
        <f t="shared" si="36"/>
        <v>0</v>
      </c>
      <c r="N58" s="54">
        <f t="shared" si="37"/>
        <v>0</v>
      </c>
      <c r="O58" s="54"/>
      <c r="P58" s="54">
        <f t="shared" si="38"/>
        <v>0</v>
      </c>
      <c r="Q58" s="89" t="str">
        <f>+'BOS G2 NEMA'!Q64</f>
        <v>SMART</v>
      </c>
    </row>
    <row r="59" spans="1:26" x14ac:dyDescent="0.3">
      <c r="A59" s="1">
        <f t="shared" si="0"/>
        <v>59</v>
      </c>
      <c r="B59" s="31"/>
      <c r="C59" s="44" t="str">
        <f>+'BOS G2 NEMA'!C65</f>
        <v>Residential Assistance Adjustment Factor</v>
      </c>
      <c r="G59" s="53">
        <v>2.7200000000000002E-3</v>
      </c>
      <c r="H59" s="91"/>
      <c r="I59" s="91">
        <f t="shared" si="39"/>
        <v>2.7200000000000002E-3</v>
      </c>
      <c r="J59" s="53">
        <f t="shared" si="34"/>
        <v>2.7200000000000002E-3</v>
      </c>
      <c r="K59" s="53">
        <f t="shared" si="35"/>
        <v>2.7200000000000002E-3</v>
      </c>
      <c r="M59" s="54">
        <f t="shared" si="36"/>
        <v>0</v>
      </c>
      <c r="N59" s="54">
        <f t="shared" si="37"/>
        <v>0</v>
      </c>
      <c r="O59" s="54"/>
      <c r="P59" s="54">
        <f t="shared" si="38"/>
        <v>0</v>
      </c>
      <c r="Q59" s="89" t="str">
        <f>+'BOS G2 NEMA'!Q65</f>
        <v>RAAF</v>
      </c>
    </row>
    <row r="60" spans="1:26" x14ac:dyDescent="0.3">
      <c r="A60" s="1">
        <f t="shared" si="0"/>
        <v>60</v>
      </c>
      <c r="B60" s="31"/>
      <c r="C60" s="44" t="str">
        <f>+'BOS G2 NEMA'!C66</f>
        <v>Pension Adjustment Factor</v>
      </c>
      <c r="G60" s="53">
        <v>2.7E-4</v>
      </c>
      <c r="H60" s="91"/>
      <c r="I60" s="91">
        <f t="shared" si="39"/>
        <v>2.7E-4</v>
      </c>
      <c r="J60" s="53">
        <f t="shared" si="34"/>
        <v>2.7E-4</v>
      </c>
      <c r="K60" s="53">
        <f t="shared" si="35"/>
        <v>2.7E-4</v>
      </c>
      <c r="M60" s="54">
        <f t="shared" si="36"/>
        <v>0</v>
      </c>
      <c r="N60" s="54">
        <f t="shared" si="37"/>
        <v>0</v>
      </c>
      <c r="O60" s="54"/>
      <c r="P60" s="54">
        <f t="shared" si="38"/>
        <v>0</v>
      </c>
      <c r="Q60" s="89" t="str">
        <f>+'BOS G2 NEMA'!Q66</f>
        <v>PAF</v>
      </c>
    </row>
    <row r="61" spans="1:26" x14ac:dyDescent="0.3">
      <c r="A61" s="1">
        <f t="shared" si="0"/>
        <v>61</v>
      </c>
      <c r="B61" s="31"/>
      <c r="C61" s="44" t="str">
        <f>+'BOS G2 NEMA'!C67</f>
        <v>Net Metering Recovery Surcharge</v>
      </c>
      <c r="G61" s="91">
        <v>5.4000000000000003E-3</v>
      </c>
      <c r="H61" s="91"/>
      <c r="I61" s="91">
        <f t="shared" si="39"/>
        <v>5.4000000000000003E-3</v>
      </c>
      <c r="J61" s="91">
        <f t="shared" si="34"/>
        <v>5.4000000000000003E-3</v>
      </c>
      <c r="K61" s="91">
        <f t="shared" si="35"/>
        <v>5.4000000000000003E-3</v>
      </c>
      <c r="M61" s="54">
        <f t="shared" si="36"/>
        <v>0</v>
      </c>
      <c r="N61" s="54">
        <f t="shared" si="37"/>
        <v>0</v>
      </c>
      <c r="O61" s="54"/>
      <c r="P61" s="54">
        <f t="shared" si="38"/>
        <v>0</v>
      </c>
      <c r="Q61" s="89" t="str">
        <f>+'BOS G2 NEMA'!Q67</f>
        <v>NMRS</v>
      </c>
    </row>
    <row r="62" spans="1:26" x14ac:dyDescent="0.3">
      <c r="A62" s="1">
        <f t="shared" si="0"/>
        <v>62</v>
      </c>
      <c r="B62" s="31"/>
      <c r="C62" s="44" t="str">
        <f>+'BOS G2 NEMA'!C68</f>
        <v>Long Term Renewable Contract Adjustment</v>
      </c>
      <c r="G62" s="53">
        <v>-1.9300000000000001E-3</v>
      </c>
      <c r="H62" s="91"/>
      <c r="I62" s="91">
        <f t="shared" si="39"/>
        <v>-1.9300000000000001E-3</v>
      </c>
      <c r="J62" s="53">
        <f t="shared" si="34"/>
        <v>-1.9300000000000001E-3</v>
      </c>
      <c r="K62" s="53">
        <f t="shared" si="35"/>
        <v>-1.9300000000000001E-3</v>
      </c>
      <c r="M62" s="54">
        <f t="shared" si="36"/>
        <v>0</v>
      </c>
      <c r="N62" s="54">
        <f t="shared" si="37"/>
        <v>0</v>
      </c>
      <c r="O62" s="54"/>
      <c r="P62" s="54">
        <f t="shared" si="38"/>
        <v>0</v>
      </c>
      <c r="Q62" s="89" t="str">
        <f>+'BOS G2 NEMA'!Q68</f>
        <v>LTRCA</v>
      </c>
    </row>
    <row r="63" spans="1:26" x14ac:dyDescent="0.3">
      <c r="A63" s="1">
        <f t="shared" si="0"/>
        <v>63</v>
      </c>
      <c r="B63" s="31"/>
      <c r="C63" s="44" t="str">
        <f>+'BOS G2 NEMA'!C69</f>
        <v>AG Consulting Expense</v>
      </c>
      <c r="G63" s="53">
        <v>1.0000000000000001E-5</v>
      </c>
      <c r="H63" s="91"/>
      <c r="I63" s="91">
        <f t="shared" si="39"/>
        <v>1.0000000000000001E-5</v>
      </c>
      <c r="J63" s="53">
        <f t="shared" si="34"/>
        <v>1.0000000000000001E-5</v>
      </c>
      <c r="K63" s="53">
        <f t="shared" si="35"/>
        <v>1.0000000000000001E-5</v>
      </c>
      <c r="M63" s="54">
        <f t="shared" si="36"/>
        <v>0</v>
      </c>
      <c r="N63" s="54">
        <f t="shared" si="37"/>
        <v>0</v>
      </c>
      <c r="O63" s="54"/>
      <c r="P63" s="54">
        <f t="shared" si="38"/>
        <v>0</v>
      </c>
      <c r="Q63" s="89" t="str">
        <f>+'BOS G2 NEMA'!Q69</f>
        <v>AGCE</v>
      </c>
    </row>
    <row r="64" spans="1:26" x14ac:dyDescent="0.3">
      <c r="A64" s="1">
        <f t="shared" si="0"/>
        <v>64</v>
      </c>
      <c r="B64" s="31"/>
      <c r="C64" s="44" t="str">
        <f>+'BOS G2 NEMA'!C70</f>
        <v>Storm Cost Recovery Adjustment Factor</v>
      </c>
      <c r="G64" s="53">
        <v>2.2100000000000002E-3</v>
      </c>
      <c r="H64" s="91"/>
      <c r="I64" s="91">
        <f t="shared" si="39"/>
        <v>2.2100000000000002E-3</v>
      </c>
      <c r="J64" s="53">
        <f t="shared" si="34"/>
        <v>2.2100000000000002E-3</v>
      </c>
      <c r="K64" s="53">
        <f t="shared" si="35"/>
        <v>2.2100000000000002E-3</v>
      </c>
      <c r="M64" s="54">
        <f t="shared" si="36"/>
        <v>0</v>
      </c>
      <c r="N64" s="54">
        <f t="shared" si="37"/>
        <v>0</v>
      </c>
      <c r="O64" s="54"/>
      <c r="P64" s="54">
        <f t="shared" si="38"/>
        <v>0</v>
      </c>
      <c r="Q64" s="89" t="str">
        <f>+'BOS G2 NEMA'!Q70</f>
        <v>SCRA</v>
      </c>
    </row>
    <row r="65" spans="1:17" x14ac:dyDescent="0.3">
      <c r="A65" s="1">
        <f t="shared" si="0"/>
        <v>65</v>
      </c>
      <c r="B65" s="31"/>
      <c r="C65" s="44" t="str">
        <f>+'BOS G2 NEMA'!C71</f>
        <v>Storm Reserve Adjustment</v>
      </c>
      <c r="G65" s="53">
        <v>0</v>
      </c>
      <c r="H65" s="91"/>
      <c r="I65" s="91">
        <f t="shared" si="39"/>
        <v>0</v>
      </c>
      <c r="J65" s="53">
        <f t="shared" si="34"/>
        <v>0</v>
      </c>
      <c r="K65" s="53">
        <f t="shared" si="35"/>
        <v>0</v>
      </c>
      <c r="M65" s="54">
        <f t="shared" si="36"/>
        <v>0</v>
      </c>
      <c r="N65" s="54">
        <f t="shared" si="37"/>
        <v>0</v>
      </c>
      <c r="O65" s="54"/>
      <c r="P65" s="54">
        <f t="shared" si="38"/>
        <v>0</v>
      </c>
      <c r="Q65" s="89" t="str">
        <f>+'BOS G2 NEMA'!Q71</f>
        <v>SRA</v>
      </c>
    </row>
    <row r="66" spans="1:17" x14ac:dyDescent="0.3">
      <c r="A66" s="1">
        <f t="shared" si="0"/>
        <v>66</v>
      </c>
      <c r="B66" s="31"/>
      <c r="C66" s="44" t="str">
        <f>+'BOS G2 NEMA'!C72</f>
        <v>Basic Service Cost True Up Factor</v>
      </c>
      <c r="G66" s="53">
        <v>-1.4999999999999999E-4</v>
      </c>
      <c r="H66" s="91"/>
      <c r="I66" s="91">
        <f t="shared" si="39"/>
        <v>-1.4999999999999999E-4</v>
      </c>
      <c r="J66" s="53">
        <f t="shared" si="34"/>
        <v>-1.4999999999999999E-4</v>
      </c>
      <c r="K66" s="53">
        <f t="shared" si="35"/>
        <v>-1.4999999999999999E-4</v>
      </c>
      <c r="M66" s="54">
        <f t="shared" si="36"/>
        <v>0</v>
      </c>
      <c r="N66" s="54">
        <f t="shared" si="37"/>
        <v>0</v>
      </c>
      <c r="O66" s="54"/>
      <c r="P66" s="54">
        <f t="shared" si="38"/>
        <v>0</v>
      </c>
      <c r="Q66" s="89" t="str">
        <f>+'BOS G2 NEMA'!Q72</f>
        <v>BSTF</v>
      </c>
    </row>
    <row r="67" spans="1:17" x14ac:dyDescent="0.3">
      <c r="A67" s="1">
        <f t="shared" ref="A67:A81" si="40">A66+1</f>
        <v>67</v>
      </c>
      <c r="B67" s="31"/>
      <c r="C67" s="44" t="str">
        <f>+'BOS G2 NEMA'!C73</f>
        <v>Solar Program Cost Adjustment Factor</v>
      </c>
      <c r="D67" s="44"/>
      <c r="E67" s="23"/>
      <c r="G67" s="53">
        <v>0</v>
      </c>
      <c r="H67" s="91"/>
      <c r="I67" s="91">
        <f t="shared" si="39"/>
        <v>0</v>
      </c>
      <c r="J67" s="53">
        <f t="shared" si="34"/>
        <v>0</v>
      </c>
      <c r="K67" s="53">
        <f t="shared" si="35"/>
        <v>0</v>
      </c>
      <c r="M67" s="54">
        <f t="shared" si="36"/>
        <v>0</v>
      </c>
      <c r="N67" s="54">
        <f t="shared" si="37"/>
        <v>0</v>
      </c>
      <c r="O67" s="54"/>
      <c r="P67" s="54">
        <f t="shared" si="38"/>
        <v>0</v>
      </c>
      <c r="Q67" s="89" t="str">
        <f>+'BOS G2 NEMA'!Q73</f>
        <v>SPCA</v>
      </c>
    </row>
    <row r="68" spans="1:17" x14ac:dyDescent="0.3">
      <c r="A68" s="1">
        <f t="shared" si="40"/>
        <v>68</v>
      </c>
      <c r="B68" s="31"/>
      <c r="C68" s="44" t="str">
        <f>+'BOS G2 NEMA'!C74</f>
        <v>Solar Expansion Cost Recovery Factor</v>
      </c>
      <c r="D68" s="44"/>
      <c r="E68" s="23"/>
      <c r="G68" s="53">
        <v>-1.7000000000000001E-4</v>
      </c>
      <c r="H68" s="91"/>
      <c r="I68" s="91">
        <f t="shared" si="39"/>
        <v>-1.7000000000000001E-4</v>
      </c>
      <c r="J68" s="53">
        <f t="shared" si="34"/>
        <v>-1.7000000000000001E-4</v>
      </c>
      <c r="K68" s="53">
        <f t="shared" si="35"/>
        <v>-1.7000000000000001E-4</v>
      </c>
      <c r="M68" s="54">
        <f t="shared" si="36"/>
        <v>0</v>
      </c>
      <c r="N68" s="54">
        <f t="shared" si="37"/>
        <v>0</v>
      </c>
      <c r="O68" s="54"/>
      <c r="P68" s="54">
        <f t="shared" si="38"/>
        <v>0</v>
      </c>
      <c r="Q68" s="89" t="str">
        <f>+'BOS G2 NEMA'!Q74</f>
        <v>SECRF</v>
      </c>
    </row>
    <row r="69" spans="1:17" x14ac:dyDescent="0.3">
      <c r="A69" s="1">
        <f t="shared" si="40"/>
        <v>69</v>
      </c>
      <c r="B69" s="31"/>
      <c r="C69" s="44" t="str">
        <f>+'BOS G2 NEMA'!C75</f>
        <v>Vegetation Management</v>
      </c>
      <c r="D69" s="44"/>
      <c r="E69" s="23"/>
      <c r="G69" s="53">
        <v>5.9999999999999995E-4</v>
      </c>
      <c r="H69" s="91"/>
      <c r="I69" s="91">
        <f t="shared" si="39"/>
        <v>5.9999999999999995E-4</v>
      </c>
      <c r="J69" s="53">
        <f t="shared" si="34"/>
        <v>5.9999999999999995E-4</v>
      </c>
      <c r="K69" s="53">
        <f t="shared" si="35"/>
        <v>5.9999999999999995E-4</v>
      </c>
      <c r="L69" s="37"/>
      <c r="M69" s="54">
        <f t="shared" si="36"/>
        <v>0</v>
      </c>
      <c r="N69" s="54">
        <f t="shared" si="37"/>
        <v>0</v>
      </c>
      <c r="O69" s="54"/>
      <c r="P69" s="54">
        <f t="shared" si="38"/>
        <v>0</v>
      </c>
      <c r="Q69" s="89" t="str">
        <f>+'BOS G2 NEMA'!Q75</f>
        <v>RTWF</v>
      </c>
    </row>
    <row r="70" spans="1:17" x14ac:dyDescent="0.3">
      <c r="A70" s="1">
        <f t="shared" si="40"/>
        <v>70</v>
      </c>
      <c r="B70" s="31"/>
      <c r="C70" s="44" t="str">
        <f>+'BOS G2 NEMA'!C76</f>
        <v>Tax Act Credit Factor</v>
      </c>
      <c r="D70" s="37"/>
      <c r="E70" s="37"/>
      <c r="F70" s="53"/>
      <c r="G70" s="53">
        <v>-5.9999999999999995E-4</v>
      </c>
      <c r="H70" s="91"/>
      <c r="I70" s="91">
        <f t="shared" si="39"/>
        <v>-5.9999999999999995E-4</v>
      </c>
      <c r="J70" s="53">
        <f t="shared" si="34"/>
        <v>-5.9999999999999995E-4</v>
      </c>
      <c r="K70" s="53">
        <f t="shared" si="35"/>
        <v>-5.9999999999999995E-4</v>
      </c>
      <c r="L70" s="37"/>
      <c r="M70" s="54">
        <f t="shared" si="36"/>
        <v>0</v>
      </c>
      <c r="N70" s="54">
        <f t="shared" si="37"/>
        <v>0</v>
      </c>
      <c r="O70" s="54"/>
      <c r="P70" s="54">
        <f t="shared" si="38"/>
        <v>0</v>
      </c>
      <c r="Q70" s="89" t="str">
        <f>+'BOS G2 NEMA'!Q76</f>
        <v>TACF</v>
      </c>
    </row>
    <row r="71" spans="1:17" x14ac:dyDescent="0.3">
      <c r="A71" s="1">
        <f t="shared" si="40"/>
        <v>71</v>
      </c>
      <c r="B71" s="31"/>
      <c r="C71" s="44" t="str">
        <f>+'BOS G2 NEMA'!C77</f>
        <v>Grid Modernization</v>
      </c>
      <c r="D71" s="44"/>
      <c r="E71" s="23"/>
      <c r="G71" s="53">
        <v>7.6999999999999996E-4</v>
      </c>
      <c r="H71" s="91"/>
      <c r="I71" s="91">
        <f t="shared" si="39"/>
        <v>7.6999999999999996E-4</v>
      </c>
      <c r="J71" s="53">
        <f t="shared" si="34"/>
        <v>7.6999999999999996E-4</v>
      </c>
      <c r="K71" s="53">
        <f t="shared" si="35"/>
        <v>7.6999999999999996E-4</v>
      </c>
      <c r="M71" s="54">
        <f t="shared" si="36"/>
        <v>0</v>
      </c>
      <c r="N71" s="54">
        <f t="shared" si="37"/>
        <v>0</v>
      </c>
      <c r="O71" s="54"/>
      <c r="P71" s="54">
        <f t="shared" si="38"/>
        <v>0</v>
      </c>
      <c r="Q71" s="89" t="str">
        <f>+'BOS G2 NEMA'!Q77</f>
        <v>GMOD</v>
      </c>
    </row>
    <row r="72" spans="1:17" x14ac:dyDescent="0.3">
      <c r="A72" s="1">
        <f t="shared" si="40"/>
        <v>72</v>
      </c>
      <c r="B72" s="31"/>
      <c r="C72" s="44" t="str">
        <f>+'BOS G2 NEMA'!C78</f>
        <v>Advanced Metering Infrastructure</v>
      </c>
      <c r="D72" s="44"/>
      <c r="E72" s="23"/>
      <c r="G72" s="53">
        <v>1.0200000000000001E-3</v>
      </c>
      <c r="H72" s="91"/>
      <c r="I72" s="91">
        <f t="shared" si="39"/>
        <v>1.0200000000000001E-3</v>
      </c>
      <c r="J72" s="53">
        <f t="shared" si="34"/>
        <v>1.0200000000000001E-3</v>
      </c>
      <c r="K72" s="53">
        <f t="shared" si="35"/>
        <v>1.0200000000000001E-3</v>
      </c>
      <c r="M72" s="54">
        <f t="shared" si="36"/>
        <v>0</v>
      </c>
      <c r="N72" s="54">
        <f t="shared" si="37"/>
        <v>0</v>
      </c>
      <c r="O72" s="54"/>
      <c r="P72" s="54">
        <f t="shared" si="38"/>
        <v>0</v>
      </c>
      <c r="Q72" s="89" t="str">
        <f>+'BOS G2 NEMA'!Q78</f>
        <v>AMIF</v>
      </c>
    </row>
    <row r="73" spans="1:17" x14ac:dyDescent="0.3">
      <c r="A73" s="1">
        <f t="shared" si="40"/>
        <v>73</v>
      </c>
      <c r="B73" s="31"/>
      <c r="C73" s="44" t="str">
        <f>+'BOS G2 NEMA'!C79</f>
        <v>Electronic Payment Recovery</v>
      </c>
      <c r="D73" s="44"/>
      <c r="E73" s="23"/>
      <c r="G73" s="53">
        <v>0</v>
      </c>
      <c r="H73" s="91"/>
      <c r="I73" s="91">
        <f t="shared" si="39"/>
        <v>0</v>
      </c>
      <c r="J73" s="53">
        <f t="shared" si="34"/>
        <v>0</v>
      </c>
      <c r="K73" s="53">
        <f t="shared" si="35"/>
        <v>0</v>
      </c>
      <c r="M73" s="54">
        <f t="shared" si="36"/>
        <v>0</v>
      </c>
      <c r="N73" s="54">
        <f t="shared" si="37"/>
        <v>0</v>
      </c>
      <c r="O73" s="54"/>
      <c r="P73" s="54">
        <f t="shared" si="38"/>
        <v>0</v>
      </c>
      <c r="Q73" s="89" t="str">
        <f>+'BOS G2 NEMA'!Q79</f>
        <v>EPR</v>
      </c>
    </row>
    <row r="74" spans="1:17" x14ac:dyDescent="0.3">
      <c r="A74" s="1">
        <f t="shared" si="40"/>
        <v>74</v>
      </c>
      <c r="B74" s="31"/>
      <c r="C74" s="44" t="str">
        <f>+'BOS G2 NEMA'!C80</f>
        <v>Provisional System Planning Factor</v>
      </c>
      <c r="D74" s="44"/>
      <c r="E74" s="23"/>
      <c r="G74" s="91">
        <v>0</v>
      </c>
      <c r="H74" s="91"/>
      <c r="I74" s="91">
        <f t="shared" si="39"/>
        <v>0</v>
      </c>
      <c r="J74" s="91">
        <f t="shared" si="34"/>
        <v>0</v>
      </c>
      <c r="K74" s="91">
        <f t="shared" si="35"/>
        <v>0</v>
      </c>
      <c r="M74" s="54">
        <f t="shared" si="36"/>
        <v>0</v>
      </c>
      <c r="N74" s="54">
        <f t="shared" si="37"/>
        <v>0</v>
      </c>
      <c r="O74" s="54"/>
      <c r="P74" s="54">
        <f t="shared" si="38"/>
        <v>0</v>
      </c>
      <c r="Q74" s="89" t="str">
        <f>+'BOS G2 NEMA'!Q80</f>
        <v>PSPF</v>
      </c>
    </row>
    <row r="75" spans="1:17" x14ac:dyDescent="0.3">
      <c r="A75" s="1">
        <f t="shared" si="40"/>
        <v>75</v>
      </c>
      <c r="B75" s="31"/>
      <c r="C75" s="44" t="str">
        <f>+'BOS G2 NEMA'!C81</f>
        <v>Electric Vehicle Factor</v>
      </c>
      <c r="D75" s="44"/>
      <c r="E75" s="23"/>
      <c r="G75" s="91">
        <v>4.8000000000000001E-4</v>
      </c>
      <c r="H75" s="91"/>
      <c r="I75" s="91">
        <f t="shared" si="39"/>
        <v>4.8000000000000001E-4</v>
      </c>
      <c r="J75" s="91">
        <f t="shared" si="34"/>
        <v>4.8000000000000001E-4</v>
      </c>
      <c r="K75" s="91">
        <f t="shared" si="35"/>
        <v>4.8000000000000001E-4</v>
      </c>
      <c r="M75" s="54">
        <f t="shared" si="36"/>
        <v>0</v>
      </c>
      <c r="N75" s="54">
        <f t="shared" si="37"/>
        <v>0</v>
      </c>
      <c r="O75" s="54"/>
      <c r="P75" s="54">
        <f t="shared" si="38"/>
        <v>0</v>
      </c>
      <c r="Q75" s="89" t="str">
        <f>+'BOS G2 NEMA'!Q81</f>
        <v>EVF</v>
      </c>
    </row>
    <row r="76" spans="1:17" x14ac:dyDescent="0.3">
      <c r="A76" s="1">
        <f t="shared" si="40"/>
        <v>76</v>
      </c>
      <c r="B76" s="31"/>
      <c r="C76" s="44" t="str">
        <f>+'BOS G2 NEMA'!C82</f>
        <v>Transition</v>
      </c>
      <c r="D76" s="44"/>
      <c r="E76" s="23"/>
      <c r="G76" s="91">
        <v>-3.6999999999999999E-4</v>
      </c>
      <c r="H76" s="91"/>
      <c r="I76" s="91">
        <f t="shared" si="39"/>
        <v>-3.6999999999999999E-4</v>
      </c>
      <c r="J76" s="91">
        <f t="shared" si="34"/>
        <v>-3.6999999999999999E-4</v>
      </c>
      <c r="K76" s="91">
        <f t="shared" si="35"/>
        <v>-3.6999999999999999E-4</v>
      </c>
      <c r="M76" s="54">
        <f t="shared" si="36"/>
        <v>0</v>
      </c>
      <c r="N76" s="54">
        <f t="shared" si="37"/>
        <v>0</v>
      </c>
      <c r="O76" s="54"/>
      <c r="P76" s="54">
        <f t="shared" si="38"/>
        <v>0</v>
      </c>
      <c r="Q76" s="89" t="str">
        <f>+'BOS G2 NEMA'!Q82</f>
        <v>TRNSN</v>
      </c>
    </row>
    <row r="77" spans="1:17" x14ac:dyDescent="0.3">
      <c r="A77" s="1">
        <f t="shared" si="40"/>
        <v>77</v>
      </c>
      <c r="B77" s="31"/>
      <c r="C77" s="44" t="s">
        <v>147</v>
      </c>
      <c r="D77" s="44"/>
      <c r="E77" s="23"/>
      <c r="G77" s="88">
        <v>12.87</v>
      </c>
      <c r="H77" s="88"/>
      <c r="I77" s="88">
        <f>G77</f>
        <v>12.87</v>
      </c>
      <c r="J77" s="88">
        <f t="shared" si="34"/>
        <v>12.87</v>
      </c>
      <c r="K77" s="88">
        <f t="shared" si="35"/>
        <v>12.87</v>
      </c>
      <c r="M77" s="50">
        <f t="shared" si="36"/>
        <v>0</v>
      </c>
      <c r="N77" s="50">
        <f t="shared" si="37"/>
        <v>0</v>
      </c>
      <c r="O77" s="88"/>
      <c r="P77" s="50">
        <f t="shared" si="38"/>
        <v>0</v>
      </c>
      <c r="Q77" s="51" t="s">
        <v>104</v>
      </c>
    </row>
    <row r="78" spans="1:17" x14ac:dyDescent="0.3">
      <c r="A78" s="1">
        <f t="shared" si="40"/>
        <v>78</v>
      </c>
      <c r="B78" s="31"/>
      <c r="C78" s="44" t="s">
        <v>105</v>
      </c>
      <c r="D78" s="44"/>
      <c r="E78" s="23"/>
      <c r="G78" s="91">
        <v>-8.1300000000000001E-3</v>
      </c>
      <c r="H78" s="91"/>
      <c r="I78" s="91">
        <v>1.038E-2</v>
      </c>
      <c r="J78" s="91">
        <v>1.333E-2</v>
      </c>
      <c r="K78" s="91">
        <v>1.3129999999999999E-2</v>
      </c>
      <c r="M78" s="54">
        <f t="shared" si="36"/>
        <v>1.8509999999999999E-2</v>
      </c>
      <c r="N78" s="54">
        <f t="shared" si="37"/>
        <v>2.9499999999999995E-3</v>
      </c>
      <c r="O78" s="54"/>
      <c r="P78" s="54">
        <f t="shared" si="38"/>
        <v>-2.0000000000000052E-4</v>
      </c>
      <c r="Q78" s="89" t="s">
        <v>106</v>
      </c>
    </row>
    <row r="79" spans="1:17" x14ac:dyDescent="0.3">
      <c r="A79" s="1">
        <f t="shared" si="40"/>
        <v>79</v>
      </c>
      <c r="B79" s="31"/>
      <c r="C79" s="44" t="s">
        <v>107</v>
      </c>
      <c r="D79" s="44"/>
      <c r="E79" s="23"/>
      <c r="G79" s="91">
        <v>2.5000000000000001E-3</v>
      </c>
      <c r="H79" s="91"/>
      <c r="I79" s="91">
        <f t="shared" si="39"/>
        <v>2.5000000000000001E-3</v>
      </c>
      <c r="J79" s="91">
        <f t="shared" si="34"/>
        <v>2.5000000000000001E-3</v>
      </c>
      <c r="K79" s="91">
        <f t="shared" si="35"/>
        <v>2.5000000000000001E-3</v>
      </c>
      <c r="M79" s="54">
        <f t="shared" si="36"/>
        <v>0</v>
      </c>
      <c r="N79" s="54">
        <f t="shared" si="37"/>
        <v>0</v>
      </c>
      <c r="O79" s="54"/>
      <c r="P79" s="54">
        <f t="shared" si="38"/>
        <v>0</v>
      </c>
      <c r="Q79" s="89" t="s">
        <v>108</v>
      </c>
    </row>
    <row r="80" spans="1:17" x14ac:dyDescent="0.3">
      <c r="A80" s="1">
        <f t="shared" si="40"/>
        <v>80</v>
      </c>
      <c r="B80" s="31"/>
      <c r="C80" s="44" t="s">
        <v>109</v>
      </c>
      <c r="D80" s="44"/>
      <c r="E80" s="23"/>
      <c r="G80" s="91">
        <v>5.0000000000000001E-4</v>
      </c>
      <c r="H80" s="91"/>
      <c r="I80" s="91">
        <f t="shared" si="39"/>
        <v>5.0000000000000001E-4</v>
      </c>
      <c r="J80" s="91">
        <f t="shared" si="34"/>
        <v>5.0000000000000001E-4</v>
      </c>
      <c r="K80" s="91">
        <f t="shared" si="35"/>
        <v>5.0000000000000001E-4</v>
      </c>
      <c r="M80" s="54">
        <f t="shared" si="36"/>
        <v>0</v>
      </c>
      <c r="N80" s="54">
        <f t="shared" si="37"/>
        <v>0</v>
      </c>
      <c r="O80" s="54"/>
      <c r="P80" s="54">
        <f t="shared" si="38"/>
        <v>0</v>
      </c>
      <c r="Q80" s="89" t="s">
        <v>110</v>
      </c>
    </row>
    <row r="81" spans="1:24" x14ac:dyDescent="0.3">
      <c r="A81" s="1">
        <f t="shared" si="40"/>
        <v>81</v>
      </c>
      <c r="B81" s="31"/>
      <c r="C81" s="44" t="s">
        <v>111</v>
      </c>
      <c r="D81" s="44"/>
      <c r="E81" s="23"/>
      <c r="G81" s="92">
        <v>0.12114</v>
      </c>
      <c r="H81" s="92"/>
      <c r="I81" s="91">
        <f t="shared" si="39"/>
        <v>0.12114</v>
      </c>
      <c r="J81" s="92">
        <f t="shared" si="34"/>
        <v>0.12114</v>
      </c>
      <c r="K81" s="91">
        <f t="shared" si="35"/>
        <v>0.12114</v>
      </c>
      <c r="M81" s="54">
        <f t="shared" si="36"/>
        <v>0</v>
      </c>
      <c r="N81" s="54">
        <f t="shared" si="37"/>
        <v>0</v>
      </c>
      <c r="O81" s="54"/>
      <c r="P81" s="54">
        <f t="shared" si="38"/>
        <v>0</v>
      </c>
      <c r="Q81" s="89" t="s">
        <v>112</v>
      </c>
    </row>
    <row r="82" spans="1:24" x14ac:dyDescent="0.3">
      <c r="A82" s="1"/>
      <c r="B82" s="31"/>
      <c r="C82" s="44"/>
      <c r="D82" s="44"/>
      <c r="E82" s="23"/>
      <c r="G82" s="92"/>
      <c r="H82" s="92"/>
      <c r="I82" s="92"/>
      <c r="J82" s="94"/>
      <c r="X82" s="89"/>
    </row>
    <row r="83" spans="1:24" x14ac:dyDescent="0.3">
      <c r="A83" s="1"/>
      <c r="B83" s="31"/>
      <c r="C83" s="44"/>
      <c r="G83" s="197"/>
      <c r="H83" s="142"/>
      <c r="I83" s="88"/>
      <c r="J83" s="50"/>
    </row>
    <row r="84" spans="1:24" x14ac:dyDescent="0.3">
      <c r="A84" s="1"/>
      <c r="C84" s="44" t="s">
        <v>58</v>
      </c>
      <c r="D84" s="44"/>
      <c r="E84" s="23"/>
      <c r="G84" s="88">
        <f>+G53</f>
        <v>370</v>
      </c>
      <c r="H84" s="88"/>
      <c r="I84" s="88">
        <f>+I53</f>
        <v>370</v>
      </c>
      <c r="J84" s="88">
        <f t="shared" ref="J84:K84" si="41">+J53</f>
        <v>370</v>
      </c>
      <c r="K84" s="88">
        <f t="shared" si="41"/>
        <v>370</v>
      </c>
    </row>
    <row r="85" spans="1:24" x14ac:dyDescent="0.3">
      <c r="A85" s="1"/>
      <c r="C85" s="44" t="s">
        <v>148</v>
      </c>
      <c r="D85" s="44"/>
      <c r="E85" s="23"/>
      <c r="G85" s="88">
        <f>SUM(G54,G77)</f>
        <v>27.509999999999998</v>
      </c>
      <c r="H85" s="88"/>
      <c r="I85" s="88">
        <f>SUM(I54,I77)</f>
        <v>27.509999999999998</v>
      </c>
      <c r="J85" s="88">
        <f t="shared" ref="J85:K85" si="42">SUM(J54,J77)</f>
        <v>27.509999999999998</v>
      </c>
      <c r="K85" s="88">
        <f t="shared" si="42"/>
        <v>27.509999999999998</v>
      </c>
    </row>
    <row r="86" spans="1:24" x14ac:dyDescent="0.3">
      <c r="A86" s="1"/>
      <c r="C86" s="44" t="s">
        <v>122</v>
      </c>
      <c r="D86" s="37"/>
      <c r="E86" s="37"/>
      <c r="F86" s="53"/>
      <c r="G86" s="91">
        <f>SUM(G55:G76,G78:G80)</f>
        <v>8.1399999999999997E-3</v>
      </c>
      <c r="H86" s="91"/>
      <c r="I86" s="91">
        <f>SUM(I55:I76,I78:I80)</f>
        <v>2.6649999999999997E-2</v>
      </c>
      <c r="J86" s="91">
        <f t="shared" ref="J86:K86" si="43">SUM(J55:J76,J78:J80)</f>
        <v>2.9599999999999998E-2</v>
      </c>
      <c r="K86" s="91">
        <f t="shared" si="43"/>
        <v>2.9399999999999999E-2</v>
      </c>
    </row>
    <row r="87" spans="1:24" x14ac:dyDescent="0.3">
      <c r="A87" s="1"/>
      <c r="C87" s="44" t="s">
        <v>123</v>
      </c>
      <c r="D87" s="37"/>
      <c r="E87" s="37"/>
      <c r="F87" s="53"/>
      <c r="G87" s="91">
        <f>+G81</f>
        <v>0.12114</v>
      </c>
      <c r="H87" s="91"/>
      <c r="I87" s="91">
        <f>+I81</f>
        <v>0.12114</v>
      </c>
      <c r="J87" s="91">
        <f t="shared" ref="J87:K87" si="44">+J81</f>
        <v>0.12114</v>
      </c>
      <c r="K87" s="91">
        <f t="shared" si="44"/>
        <v>0.12114</v>
      </c>
    </row>
    <row r="118" spans="2:23" x14ac:dyDescent="0.3">
      <c r="B118" s="144"/>
      <c r="C118" s="190"/>
    </row>
    <row r="119" spans="2:23" x14ac:dyDescent="0.3">
      <c r="B119" s="144"/>
      <c r="C119" s="163"/>
      <c r="D119" s="163"/>
      <c r="E119" s="146"/>
      <c r="F119" s="146"/>
      <c r="G119" s="146"/>
      <c r="H119" s="147"/>
      <c r="I119" s="146"/>
      <c r="J119" s="146"/>
      <c r="K119" s="146"/>
      <c r="L119" s="147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8"/>
    </row>
    <row r="120" spans="2:23" x14ac:dyDescent="0.3">
      <c r="B120" s="144"/>
      <c r="C120" s="163"/>
      <c r="D120" s="163"/>
      <c r="E120" s="146"/>
      <c r="F120" s="146"/>
      <c r="G120" s="146"/>
      <c r="H120" s="147"/>
      <c r="I120" s="146"/>
      <c r="J120" s="146"/>
      <c r="K120" s="146"/>
      <c r="L120" s="147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8"/>
    </row>
    <row r="121" spans="2:23" x14ac:dyDescent="0.3">
      <c r="B121" s="144"/>
      <c r="C121" s="163"/>
      <c r="D121" s="163"/>
      <c r="E121" s="146"/>
      <c r="F121" s="146"/>
      <c r="G121" s="146"/>
      <c r="H121" s="170"/>
      <c r="I121" s="146"/>
      <c r="J121" s="146"/>
      <c r="K121" s="146"/>
      <c r="L121" s="170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8"/>
    </row>
    <row r="123" spans="2:23" x14ac:dyDescent="0.3">
      <c r="B123" s="144"/>
      <c r="C123" s="163"/>
      <c r="D123" s="163"/>
      <c r="E123" s="146"/>
      <c r="F123" s="146"/>
      <c r="G123" s="146"/>
      <c r="H123" s="147"/>
      <c r="I123" s="146"/>
      <c r="J123" s="146"/>
      <c r="K123" s="146"/>
      <c r="L123" s="147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8"/>
    </row>
    <row r="124" spans="2:23" x14ac:dyDescent="0.3">
      <c r="B124" s="144"/>
      <c r="C124" s="163"/>
      <c r="D124" s="163"/>
      <c r="E124" s="146"/>
      <c r="F124" s="146"/>
      <c r="G124" s="146"/>
      <c r="H124" s="147"/>
      <c r="I124" s="146"/>
      <c r="J124" s="146"/>
      <c r="K124" s="146"/>
      <c r="L124" s="147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8"/>
    </row>
    <row r="125" spans="2:23" x14ac:dyDescent="0.3">
      <c r="B125" s="144"/>
      <c r="C125" s="163"/>
      <c r="D125" s="163"/>
      <c r="E125" s="146"/>
      <c r="F125" s="146"/>
      <c r="G125" s="146"/>
      <c r="H125" s="170"/>
      <c r="I125" s="146"/>
      <c r="J125" s="146"/>
      <c r="K125" s="146"/>
      <c r="L125" s="170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8"/>
    </row>
  </sheetData>
  <mergeCells count="7">
    <mergeCell ref="AA11:AB11"/>
    <mergeCell ref="E11:G11"/>
    <mergeCell ref="I11:K11"/>
    <mergeCell ref="M11:N11"/>
    <mergeCell ref="P11:R11"/>
    <mergeCell ref="T11:U11"/>
    <mergeCell ref="W11:Y11"/>
  </mergeCells>
  <pageMargins left="0.7" right="0.7" top="0.75" bottom="0.75" header="0.3" footer="0.3"/>
  <pageSetup scale="33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6D41-53A0-4F41-94FC-F187799C933D}">
  <sheetPr>
    <tabColor theme="3" tint="0.59999389629810485"/>
    <pageSetUpPr fitToPage="1"/>
  </sheetPr>
  <dimension ref="A1:AC125"/>
  <sheetViews>
    <sheetView zoomScaleNormal="100" zoomScaleSheetLayoutView="71" workbookViewId="0"/>
  </sheetViews>
  <sheetFormatPr defaultColWidth="9.1796875" defaultRowHeight="14" x14ac:dyDescent="0.3"/>
  <cols>
    <col min="1" max="1" width="3.81640625" style="2" customWidth="1"/>
    <col min="2" max="2" width="4.453125" style="2" bestFit="1" customWidth="1"/>
    <col min="3" max="4" width="12" style="2" customWidth="1"/>
    <col min="5" max="5" width="12.6328125" style="2" bestFit="1" customWidth="1"/>
    <col min="6" max="7" width="13.6328125" style="2" bestFit="1" customWidth="1"/>
    <col min="8" max="8" width="1.81640625" style="2" customWidth="1"/>
    <col min="9" max="9" width="13.1796875" style="2" bestFit="1" customWidth="1"/>
    <col min="10" max="11" width="13.6328125" style="2" bestFit="1" customWidth="1"/>
    <col min="12" max="12" width="1.81640625" style="2" customWidth="1"/>
    <col min="13" max="14" width="12" style="2" customWidth="1"/>
    <col min="15" max="15" width="2.54296875" style="2" customWidth="1"/>
    <col min="16" max="16" width="13.1796875" style="2" bestFit="1" customWidth="1"/>
    <col min="17" max="18" width="13.6328125" style="2" bestFit="1" customWidth="1"/>
    <col min="19" max="19" width="2.453125" style="2" customWidth="1"/>
    <col min="20" max="21" width="12" style="2" customWidth="1"/>
    <col min="22" max="22" width="2" style="2" customWidth="1"/>
    <col min="23" max="23" width="13.1796875" style="2" bestFit="1" customWidth="1"/>
    <col min="24" max="25" width="13.6328125" style="2" bestFit="1" customWidth="1"/>
    <col min="26" max="26" width="1.54296875" style="2" customWidth="1"/>
    <col min="27" max="28" width="12" style="2" customWidth="1"/>
    <col min="29" max="16384" width="9.1796875" style="2"/>
  </cols>
  <sheetData>
    <row r="1" spans="1:28" x14ac:dyDescent="0.3">
      <c r="A1" s="1">
        <v>1</v>
      </c>
    </row>
    <row r="2" spans="1:28" x14ac:dyDescent="0.3">
      <c r="A2" s="1">
        <f>A1+1</f>
        <v>2</v>
      </c>
    </row>
    <row r="3" spans="1:28" x14ac:dyDescent="0.3">
      <c r="A3" s="1">
        <f t="shared" ref="A3:A66" si="0">A2+1</f>
        <v>3</v>
      </c>
      <c r="B3" s="24" t="s">
        <v>40</v>
      </c>
    </row>
    <row r="4" spans="1:28" x14ac:dyDescent="0.3">
      <c r="A4" s="1">
        <f t="shared" si="0"/>
        <v>4</v>
      </c>
      <c r="B4" s="24" t="s">
        <v>41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</row>
    <row r="5" spans="1:28" x14ac:dyDescent="0.3">
      <c r="A5" s="1">
        <f t="shared" si="0"/>
        <v>5</v>
      </c>
      <c r="B5" s="24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8" x14ac:dyDescent="0.3">
      <c r="A6" s="1">
        <f t="shared" si="0"/>
        <v>6</v>
      </c>
      <c r="B6" s="24" t="s">
        <v>201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</row>
    <row r="7" spans="1:28" x14ac:dyDescent="0.3">
      <c r="A7" s="1">
        <f t="shared" si="0"/>
        <v>7</v>
      </c>
      <c r="B7" s="24" t="s">
        <v>205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</row>
    <row r="8" spans="1:28" x14ac:dyDescent="0.3">
      <c r="A8" s="1">
        <f t="shared" si="0"/>
        <v>8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</row>
    <row r="9" spans="1:28" x14ac:dyDescent="0.3">
      <c r="A9" s="1">
        <f t="shared" si="0"/>
        <v>9</v>
      </c>
      <c r="B9" s="104"/>
      <c r="D9" s="44"/>
      <c r="E9" s="44"/>
      <c r="F9" s="44"/>
      <c r="G9" s="131"/>
      <c r="H9" s="44"/>
    </row>
    <row r="10" spans="1:28" x14ac:dyDescent="0.3">
      <c r="A10" s="1">
        <f t="shared" si="0"/>
        <v>10</v>
      </c>
      <c r="B10" s="31"/>
      <c r="E10" s="44"/>
      <c r="F10" s="44"/>
      <c r="G10" s="132"/>
      <c r="H10" s="44"/>
    </row>
    <row r="11" spans="1:28" x14ac:dyDescent="0.3">
      <c r="A11" s="1">
        <f t="shared" si="0"/>
        <v>11</v>
      </c>
      <c r="B11" s="31"/>
      <c r="C11" s="104" t="str">
        <f>+'BOS G1ND'!C11</f>
        <v>Monthly</v>
      </c>
      <c r="D11" s="104" t="str">
        <f>+C11</f>
        <v>Monthly</v>
      </c>
      <c r="E11" s="32" t="str">
        <f>'EMA R1'!D10</f>
        <v>2024 Monthly Bill</v>
      </c>
      <c r="F11" s="32"/>
      <c r="G11" s="32"/>
      <c r="H11" s="133"/>
      <c r="I11" s="32" t="str">
        <f>'EMA R1'!H10</f>
        <v>2025 Illustrative Monthly Bill</v>
      </c>
      <c r="J11" s="32"/>
      <c r="K11" s="32"/>
      <c r="L11" s="23"/>
      <c r="M11" s="32" t="str">
        <f>'EMA R1'!L10</f>
        <v>2025 vs. 2024</v>
      </c>
      <c r="N11" s="32"/>
      <c r="O11" s="27"/>
      <c r="P11" s="32" t="str">
        <f>'EMA R1'!O10</f>
        <v>2026 Illustrative Monthly Bill</v>
      </c>
      <c r="Q11" s="32"/>
      <c r="R11" s="32"/>
      <c r="S11" s="133"/>
      <c r="T11" s="32" t="str">
        <f>'EMA R1'!S10</f>
        <v>2026 vs. 2025</v>
      </c>
      <c r="U11" s="32"/>
      <c r="V11" s="23"/>
      <c r="W11" s="32" t="str">
        <f>'EMA R1'!V10</f>
        <v>2027 Illustrative Monthly Bill</v>
      </c>
      <c r="X11" s="32"/>
      <c r="Y11" s="32"/>
      <c r="Z11" s="133"/>
      <c r="AA11" s="32" t="str">
        <f>'EMA R1'!Z10</f>
        <v>2027 vs. 2026</v>
      </c>
      <c r="AB11" s="32"/>
    </row>
    <row r="12" spans="1:28" x14ac:dyDescent="0.3">
      <c r="A12" s="1">
        <f t="shared" si="0"/>
        <v>12</v>
      </c>
      <c r="B12" s="31"/>
      <c r="C12" s="134" t="s">
        <v>125</v>
      </c>
      <c r="D12" s="134" t="s">
        <v>47</v>
      </c>
      <c r="E12" s="34" t="s">
        <v>48</v>
      </c>
      <c r="F12" s="34" t="s">
        <v>49</v>
      </c>
      <c r="G12" s="34" t="s">
        <v>50</v>
      </c>
      <c r="H12" s="34"/>
      <c r="I12" s="34" t="s">
        <v>48</v>
      </c>
      <c r="J12" s="34" t="s">
        <v>49</v>
      </c>
      <c r="K12" s="34" t="s">
        <v>50</v>
      </c>
      <c r="L12" s="23"/>
      <c r="M12" s="34" t="s">
        <v>51</v>
      </c>
      <c r="N12" s="34" t="s">
        <v>14</v>
      </c>
      <c r="O12" s="34"/>
      <c r="P12" s="34" t="s">
        <v>48</v>
      </c>
      <c r="Q12" s="34" t="s">
        <v>49</v>
      </c>
      <c r="R12" s="34" t="s">
        <v>50</v>
      </c>
      <c r="S12" s="34"/>
      <c r="T12" s="34" t="s">
        <v>51</v>
      </c>
      <c r="U12" s="34" t="s">
        <v>14</v>
      </c>
      <c r="V12" s="23"/>
      <c r="W12" s="34" t="s">
        <v>48</v>
      </c>
      <c r="X12" s="34" t="s">
        <v>49</v>
      </c>
      <c r="Y12" s="34" t="s">
        <v>50</v>
      </c>
      <c r="Z12" s="34"/>
      <c r="AA12" s="34" t="s">
        <v>51</v>
      </c>
      <c r="AB12" s="34" t="s">
        <v>14</v>
      </c>
    </row>
    <row r="13" spans="1:28" x14ac:dyDescent="0.3">
      <c r="A13" s="1">
        <f t="shared" si="0"/>
        <v>13</v>
      </c>
      <c r="B13" s="31"/>
      <c r="C13" s="134"/>
      <c r="D13" s="134"/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Y13" s="44"/>
      <c r="Z13" s="44"/>
    </row>
    <row r="14" spans="1:28" x14ac:dyDescent="0.3">
      <c r="A14" s="1">
        <f t="shared" si="0"/>
        <v>14</v>
      </c>
      <c r="B14" s="31"/>
      <c r="C14" s="164" t="s">
        <v>126</v>
      </c>
      <c r="D14" s="104">
        <v>270</v>
      </c>
      <c r="E14" s="134"/>
      <c r="F14" s="134"/>
      <c r="G14" s="134"/>
      <c r="H14" s="44"/>
      <c r="I14" s="134"/>
      <c r="J14" s="134"/>
      <c r="K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Y14" s="44"/>
      <c r="Z14" s="44"/>
    </row>
    <row r="15" spans="1:28" x14ac:dyDescent="0.3">
      <c r="A15" s="1">
        <f t="shared" si="0"/>
        <v>15</v>
      </c>
      <c r="B15" s="31"/>
      <c r="C15" s="105">
        <v>25</v>
      </c>
      <c r="D15" s="106">
        <f>C15*$D$14</f>
        <v>6750</v>
      </c>
      <c r="E15" s="135">
        <f>ROUND($G$84+$C15*$G$85+$D15*$G$86,2)</f>
        <v>1112.7</v>
      </c>
      <c r="F15" s="135">
        <f>ROUND($G$87*D15,2)</f>
        <v>915.03</v>
      </c>
      <c r="G15" s="135">
        <f t="shared" ref="G15:G24" si="1">SUM(E15:F15)</f>
        <v>2027.73</v>
      </c>
      <c r="H15" s="136"/>
      <c r="I15" s="135">
        <f>ROUND($I$84+$C15*$I$85+$D15*$I$86,2)</f>
        <v>1237.6400000000001</v>
      </c>
      <c r="J15" s="135">
        <f>ROUND($I$87*D15,2)</f>
        <v>915.03</v>
      </c>
      <c r="K15" s="135">
        <f>SUM(I15:J15)</f>
        <v>2152.67</v>
      </c>
      <c r="L15" s="136"/>
      <c r="M15" s="135">
        <f t="shared" ref="M15:M24" si="2">+K15-G15</f>
        <v>124.94000000000005</v>
      </c>
      <c r="N15" s="137">
        <f t="shared" ref="N15:N24" si="3">+M15/G15</f>
        <v>6.1615698342481519E-2</v>
      </c>
      <c r="O15" s="135"/>
      <c r="P15" s="135">
        <f>ROUND($J$84+$C15*$J$85+$D15*$J$86,2)</f>
        <v>1257.55</v>
      </c>
      <c r="Q15" s="135">
        <f>ROUND($J$87*D15,2)</f>
        <v>915.03</v>
      </c>
      <c r="R15" s="135">
        <f t="shared" ref="R15:R24" si="4">SUM(P15:Q15)</f>
        <v>2172.58</v>
      </c>
      <c r="S15" s="136"/>
      <c r="T15" s="135">
        <f>+R15-K15</f>
        <v>19.909999999999854</v>
      </c>
      <c r="U15" s="137">
        <f>+T15/K15</f>
        <v>9.2489791746992595E-3</v>
      </c>
      <c r="V15" s="135"/>
      <c r="W15" s="135">
        <f>ROUND($K$84+$C15*$K$85+$D15*$K$86,2)</f>
        <v>1256.2</v>
      </c>
      <c r="X15" s="135">
        <f>ROUND($K$87*D15,2)</f>
        <v>915.03</v>
      </c>
      <c r="Y15" s="135">
        <f t="shared" ref="Y15:Y24" si="5">SUM(W15:X15)</f>
        <v>2171.23</v>
      </c>
      <c r="Z15" s="136"/>
      <c r="AA15" s="135">
        <f>+Y15-R15</f>
        <v>-1.3499999999999091</v>
      </c>
      <c r="AB15" s="137">
        <f>+AA15/R15</f>
        <v>-6.2138103084807426E-4</v>
      </c>
    </row>
    <row r="16" spans="1:28" x14ac:dyDescent="0.3">
      <c r="A16" s="1">
        <f t="shared" si="0"/>
        <v>16</v>
      </c>
      <c r="B16" s="31"/>
      <c r="C16" s="105">
        <v>65</v>
      </c>
      <c r="D16" s="106">
        <f t="shared" ref="D16:D24" si="6">C16*$D$14</f>
        <v>17550</v>
      </c>
      <c r="E16" s="135">
        <f t="shared" ref="E16:E48" si="7">ROUND($G$84+$C16*$G$85+$D16*$G$86,2)</f>
        <v>2301.0100000000002</v>
      </c>
      <c r="F16" s="135">
        <f t="shared" ref="F16:F24" si="8">ROUND($G$87*D16,2)</f>
        <v>2379.08</v>
      </c>
      <c r="G16" s="135">
        <f t="shared" si="1"/>
        <v>4680.09</v>
      </c>
      <c r="H16" s="136"/>
      <c r="I16" s="135">
        <f t="shared" ref="I16:I48" si="9">ROUND($I$84+$C16*$I$85+$D16*$I$86,2)</f>
        <v>2625.86</v>
      </c>
      <c r="J16" s="135">
        <f t="shared" ref="J16:J48" si="10">ROUND($I$87*D16,2)</f>
        <v>2379.08</v>
      </c>
      <c r="K16" s="135">
        <f t="shared" ref="K16:K24" si="11">SUM(I16:J16)</f>
        <v>5004.9400000000005</v>
      </c>
      <c r="L16" s="136"/>
      <c r="M16" s="135">
        <f t="shared" si="2"/>
        <v>324.85000000000036</v>
      </c>
      <c r="N16" s="137">
        <f t="shared" si="3"/>
        <v>6.9411058334348352E-2</v>
      </c>
      <c r="O16" s="135"/>
      <c r="P16" s="135">
        <f t="shared" ref="P16:P24" si="12">ROUND($J$84+$C16*$J$85+$D16*$J$86,2)</f>
        <v>2677.63</v>
      </c>
      <c r="Q16" s="135">
        <f t="shared" ref="Q16:Q48" si="13">ROUND($J$87*D16,2)</f>
        <v>2379.08</v>
      </c>
      <c r="R16" s="135">
        <f t="shared" si="4"/>
        <v>5056.71</v>
      </c>
      <c r="S16" s="136"/>
      <c r="T16" s="135">
        <f t="shared" ref="T16:T48" si="14">+R16-K16</f>
        <v>51.769999999999527</v>
      </c>
      <c r="U16" s="137">
        <f t="shared" ref="U16:U48" si="15">+T16/K16</f>
        <v>1.0343780345019026E-2</v>
      </c>
      <c r="V16" s="135"/>
      <c r="W16" s="135">
        <f t="shared" ref="W16:W48" si="16">ROUND($K$84+$C16*$K$85+$D16*$K$86,2)</f>
        <v>2674.12</v>
      </c>
      <c r="X16" s="135">
        <f t="shared" ref="X16:X48" si="17">ROUND($K$87*D16,2)</f>
        <v>2379.08</v>
      </c>
      <c r="Y16" s="135">
        <f t="shared" si="5"/>
        <v>5053.2</v>
      </c>
      <c r="Z16" s="136"/>
      <c r="AA16" s="135">
        <f t="shared" ref="AA16:AA48" si="18">+Y16-R16</f>
        <v>-3.5100000000002183</v>
      </c>
      <c r="AB16" s="137">
        <f t="shared" ref="AB16:AB48" si="19">+AA16/R16</f>
        <v>-6.9412720919337237E-4</v>
      </c>
    </row>
    <row r="17" spans="1:29" x14ac:dyDescent="0.3">
      <c r="A17" s="1">
        <f t="shared" si="0"/>
        <v>17</v>
      </c>
      <c r="B17" s="31"/>
      <c r="C17" s="105">
        <v>100</v>
      </c>
      <c r="D17" s="106">
        <f t="shared" si="6"/>
        <v>27000</v>
      </c>
      <c r="E17" s="135">
        <f t="shared" si="7"/>
        <v>3340.78</v>
      </c>
      <c r="F17" s="135">
        <f t="shared" si="8"/>
        <v>3660.12</v>
      </c>
      <c r="G17" s="135">
        <f t="shared" si="1"/>
        <v>7000.9</v>
      </c>
      <c r="H17" s="136"/>
      <c r="I17" s="135">
        <f t="shared" si="9"/>
        <v>3840.55</v>
      </c>
      <c r="J17" s="135">
        <f t="shared" si="10"/>
        <v>3660.12</v>
      </c>
      <c r="K17" s="135">
        <f t="shared" si="11"/>
        <v>7500.67</v>
      </c>
      <c r="L17" s="136"/>
      <c r="M17" s="135">
        <f t="shared" si="2"/>
        <v>499.77000000000044</v>
      </c>
      <c r="N17" s="137">
        <f t="shared" si="3"/>
        <v>7.1386536016797911E-2</v>
      </c>
      <c r="O17" s="135"/>
      <c r="P17" s="135">
        <f t="shared" si="12"/>
        <v>3920.2</v>
      </c>
      <c r="Q17" s="135">
        <f t="shared" si="13"/>
        <v>3660.12</v>
      </c>
      <c r="R17" s="135">
        <f t="shared" si="4"/>
        <v>7580.32</v>
      </c>
      <c r="S17" s="136"/>
      <c r="T17" s="135">
        <f t="shared" si="14"/>
        <v>79.649999999999636</v>
      </c>
      <c r="U17" s="137">
        <f t="shared" si="15"/>
        <v>1.0619051364744701E-2</v>
      </c>
      <c r="V17" s="135"/>
      <c r="W17" s="135">
        <f t="shared" si="16"/>
        <v>3914.8</v>
      </c>
      <c r="X17" s="135">
        <f t="shared" si="17"/>
        <v>3660.12</v>
      </c>
      <c r="Y17" s="135">
        <f t="shared" si="5"/>
        <v>7574.92</v>
      </c>
      <c r="Z17" s="136"/>
      <c r="AA17" s="135">
        <f t="shared" si="18"/>
        <v>-5.3999999999996362</v>
      </c>
      <c r="AB17" s="137">
        <f t="shared" si="19"/>
        <v>-7.1237098169993308E-4</v>
      </c>
    </row>
    <row r="18" spans="1:29" x14ac:dyDescent="0.3">
      <c r="A18" s="1">
        <f t="shared" si="0"/>
        <v>18</v>
      </c>
      <c r="B18" s="31"/>
      <c r="C18" s="105">
        <v>200</v>
      </c>
      <c r="D18" s="106">
        <f t="shared" si="6"/>
        <v>54000</v>
      </c>
      <c r="E18" s="135">
        <f t="shared" si="7"/>
        <v>6311.56</v>
      </c>
      <c r="F18" s="135">
        <f>ROUND($G$87*D18,2)</f>
        <v>7320.24</v>
      </c>
      <c r="G18" s="135">
        <f t="shared" si="1"/>
        <v>13631.8</v>
      </c>
      <c r="H18" s="136"/>
      <c r="I18" s="135">
        <f>ROUND($I$84+$C18*$I$85+$D18*$I$86,2)</f>
        <v>7311.1</v>
      </c>
      <c r="J18" s="135">
        <f t="shared" si="10"/>
        <v>7320.24</v>
      </c>
      <c r="K18" s="135">
        <f t="shared" si="11"/>
        <v>14631.34</v>
      </c>
      <c r="L18" s="136"/>
      <c r="M18" s="135">
        <f t="shared" si="2"/>
        <v>999.54000000000087</v>
      </c>
      <c r="N18" s="137">
        <f t="shared" si="3"/>
        <v>7.3324139145234002E-2</v>
      </c>
      <c r="O18" s="135"/>
      <c r="P18" s="135">
        <f t="shared" si="12"/>
        <v>7470.4</v>
      </c>
      <c r="Q18" s="135">
        <f t="shared" si="13"/>
        <v>7320.24</v>
      </c>
      <c r="R18" s="135">
        <f t="shared" si="4"/>
        <v>14790.64</v>
      </c>
      <c r="S18" s="136"/>
      <c r="T18" s="135">
        <f t="shared" si="14"/>
        <v>159.29999999999927</v>
      </c>
      <c r="U18" s="137">
        <f t="shared" si="15"/>
        <v>1.0887587876435055E-2</v>
      </c>
      <c r="V18" s="135"/>
      <c r="W18" s="135">
        <f>ROUND($K$84+$C18*$K$85+$D18*$K$86,2)</f>
        <v>7459.6</v>
      </c>
      <c r="X18" s="135">
        <f t="shared" si="17"/>
        <v>7320.24</v>
      </c>
      <c r="Y18" s="135">
        <f t="shared" si="5"/>
        <v>14779.84</v>
      </c>
      <c r="Z18" s="136"/>
      <c r="AA18" s="135">
        <f t="shared" si="18"/>
        <v>-10.799999999999272</v>
      </c>
      <c r="AB18" s="137">
        <f t="shared" si="19"/>
        <v>-7.3019152653294739E-4</v>
      </c>
    </row>
    <row r="19" spans="1:29" x14ac:dyDescent="0.3">
      <c r="A19" s="1">
        <f t="shared" si="0"/>
        <v>19</v>
      </c>
      <c r="B19" s="31"/>
      <c r="C19" s="105">
        <v>300</v>
      </c>
      <c r="D19" s="106">
        <f t="shared" si="6"/>
        <v>81000</v>
      </c>
      <c r="E19" s="135">
        <f>ROUND($G$84+$C19*$G$85+$D19*$G$86,2)</f>
        <v>9282.34</v>
      </c>
      <c r="F19" s="135">
        <f t="shared" si="8"/>
        <v>10980.36</v>
      </c>
      <c r="G19" s="135">
        <f t="shared" si="1"/>
        <v>20262.7</v>
      </c>
      <c r="H19" s="136"/>
      <c r="I19" s="135">
        <f t="shared" si="9"/>
        <v>10781.65</v>
      </c>
      <c r="J19" s="135">
        <f>ROUND($I$87*D19,2)</f>
        <v>10980.36</v>
      </c>
      <c r="K19" s="135">
        <f t="shared" si="11"/>
        <v>21762.010000000002</v>
      </c>
      <c r="L19" s="136"/>
      <c r="M19" s="135">
        <f t="shared" si="2"/>
        <v>1499.3100000000013</v>
      </c>
      <c r="N19" s="137">
        <f t="shared" si="3"/>
        <v>7.3993594140958574E-2</v>
      </c>
      <c r="O19" s="135"/>
      <c r="P19" s="135">
        <f>ROUND($J$84+$C19*$J$85+$D19*$J$86,2)</f>
        <v>11020.6</v>
      </c>
      <c r="Q19" s="135">
        <f>ROUND($J$87*D19,2)</f>
        <v>10980.36</v>
      </c>
      <c r="R19" s="135">
        <f t="shared" si="4"/>
        <v>22000.959999999999</v>
      </c>
      <c r="S19" s="136"/>
      <c r="T19" s="135">
        <f t="shared" si="14"/>
        <v>238.94999999999709</v>
      </c>
      <c r="U19" s="137">
        <f t="shared" si="15"/>
        <v>1.0980143837816318E-2</v>
      </c>
      <c r="V19" s="135"/>
      <c r="W19" s="135">
        <f t="shared" si="16"/>
        <v>11004.4</v>
      </c>
      <c r="X19" s="135">
        <f>ROUND($K$87*D19,2)</f>
        <v>10980.36</v>
      </c>
      <c r="Y19" s="135">
        <f t="shared" si="5"/>
        <v>21984.760000000002</v>
      </c>
      <c r="Z19" s="136"/>
      <c r="AA19" s="135">
        <f t="shared" si="18"/>
        <v>-16.19999999999709</v>
      </c>
      <c r="AB19" s="137">
        <f t="shared" si="19"/>
        <v>-7.3633150553417172E-4</v>
      </c>
    </row>
    <row r="20" spans="1:29" x14ac:dyDescent="0.3">
      <c r="A20" s="1">
        <f t="shared" si="0"/>
        <v>20</v>
      </c>
      <c r="B20" s="31"/>
      <c r="C20" s="105">
        <v>450</v>
      </c>
      <c r="D20" s="106">
        <f t="shared" si="6"/>
        <v>121500</v>
      </c>
      <c r="E20" s="135">
        <f t="shared" si="7"/>
        <v>13738.51</v>
      </c>
      <c r="F20" s="135">
        <f t="shared" si="8"/>
        <v>16470.54</v>
      </c>
      <c r="G20" s="135">
        <f t="shared" si="1"/>
        <v>30209.050000000003</v>
      </c>
      <c r="H20" s="136"/>
      <c r="I20" s="135">
        <f t="shared" si="9"/>
        <v>15987.48</v>
      </c>
      <c r="J20" s="135">
        <f t="shared" si="10"/>
        <v>16470.54</v>
      </c>
      <c r="K20" s="135">
        <f t="shared" si="11"/>
        <v>32458.02</v>
      </c>
      <c r="L20" s="136"/>
      <c r="M20" s="135">
        <f t="shared" si="2"/>
        <v>2248.9699999999975</v>
      </c>
      <c r="N20" s="137">
        <f t="shared" si="3"/>
        <v>7.4446895880539016E-2</v>
      </c>
      <c r="O20" s="135"/>
      <c r="P20" s="135">
        <f t="shared" si="12"/>
        <v>16345.9</v>
      </c>
      <c r="Q20" s="135">
        <f t="shared" si="13"/>
        <v>16470.54</v>
      </c>
      <c r="R20" s="135">
        <f t="shared" si="4"/>
        <v>32816.44</v>
      </c>
      <c r="S20" s="136"/>
      <c r="T20" s="135">
        <f t="shared" si="14"/>
        <v>358.42000000000189</v>
      </c>
      <c r="U20" s="137">
        <f t="shared" si="15"/>
        <v>1.1042571296708853E-2</v>
      </c>
      <c r="V20" s="135"/>
      <c r="W20" s="135">
        <f t="shared" si="16"/>
        <v>16321.6</v>
      </c>
      <c r="X20" s="135">
        <f t="shared" si="17"/>
        <v>16470.54</v>
      </c>
      <c r="Y20" s="135">
        <f t="shared" si="5"/>
        <v>32792.14</v>
      </c>
      <c r="Z20" s="136"/>
      <c r="AA20" s="135">
        <f t="shared" si="18"/>
        <v>-24.30000000000291</v>
      </c>
      <c r="AB20" s="137">
        <f t="shared" si="19"/>
        <v>-7.4048251425209164E-4</v>
      </c>
    </row>
    <row r="21" spans="1:29" x14ac:dyDescent="0.3">
      <c r="A21" s="1">
        <f t="shared" si="0"/>
        <v>21</v>
      </c>
      <c r="B21" s="31"/>
      <c r="C21" s="105">
        <v>600</v>
      </c>
      <c r="D21" s="106">
        <f t="shared" si="6"/>
        <v>162000</v>
      </c>
      <c r="E21" s="135">
        <f t="shared" si="7"/>
        <v>18194.68</v>
      </c>
      <c r="F21" s="135">
        <f t="shared" si="8"/>
        <v>21960.720000000001</v>
      </c>
      <c r="G21" s="135">
        <f t="shared" si="1"/>
        <v>40155.4</v>
      </c>
      <c r="H21" s="136"/>
      <c r="I21" s="135">
        <f t="shared" si="9"/>
        <v>21193.3</v>
      </c>
      <c r="J21" s="135">
        <f t="shared" si="10"/>
        <v>21960.720000000001</v>
      </c>
      <c r="K21" s="135">
        <f t="shared" si="11"/>
        <v>43154.020000000004</v>
      </c>
      <c r="L21" s="136"/>
      <c r="M21" s="135">
        <f t="shared" si="2"/>
        <v>2998.6200000000026</v>
      </c>
      <c r="N21" s="137">
        <f t="shared" si="3"/>
        <v>7.4675386124904805E-2</v>
      </c>
      <c r="O21" s="135"/>
      <c r="P21" s="135">
        <f t="shared" si="12"/>
        <v>21671.200000000001</v>
      </c>
      <c r="Q21" s="135">
        <f t="shared" si="13"/>
        <v>21960.720000000001</v>
      </c>
      <c r="R21" s="135">
        <f t="shared" si="4"/>
        <v>43631.92</v>
      </c>
      <c r="S21" s="136"/>
      <c r="T21" s="135">
        <f t="shared" si="14"/>
        <v>477.89999999999418</v>
      </c>
      <c r="U21" s="137">
        <f t="shared" si="15"/>
        <v>1.1074286937810061E-2</v>
      </c>
      <c r="V21" s="135"/>
      <c r="W21" s="135">
        <f t="shared" si="16"/>
        <v>21638.799999999999</v>
      </c>
      <c r="X21" s="135">
        <f t="shared" si="17"/>
        <v>21960.720000000001</v>
      </c>
      <c r="Y21" s="135">
        <f t="shared" si="5"/>
        <v>43599.520000000004</v>
      </c>
      <c r="Z21" s="136"/>
      <c r="AA21" s="135">
        <f t="shared" si="18"/>
        <v>-32.399999999994179</v>
      </c>
      <c r="AB21" s="137">
        <f t="shared" si="19"/>
        <v>-7.4257561895039645E-4</v>
      </c>
    </row>
    <row r="22" spans="1:29" x14ac:dyDescent="0.3">
      <c r="A22" s="1">
        <f t="shared" si="0"/>
        <v>22</v>
      </c>
      <c r="B22" s="31"/>
      <c r="C22" s="105">
        <v>800</v>
      </c>
      <c r="D22" s="106">
        <f t="shared" si="6"/>
        <v>216000</v>
      </c>
      <c r="E22" s="135">
        <f t="shared" si="7"/>
        <v>24136.240000000002</v>
      </c>
      <c r="F22" s="135">
        <f t="shared" si="8"/>
        <v>29280.959999999999</v>
      </c>
      <c r="G22" s="135">
        <f t="shared" si="1"/>
        <v>53417.2</v>
      </c>
      <c r="H22" s="136"/>
      <c r="I22" s="135">
        <f t="shared" si="9"/>
        <v>28134.400000000001</v>
      </c>
      <c r="J22" s="135">
        <f t="shared" si="10"/>
        <v>29280.959999999999</v>
      </c>
      <c r="K22" s="135">
        <f t="shared" si="11"/>
        <v>57415.360000000001</v>
      </c>
      <c r="L22" s="136"/>
      <c r="M22" s="135">
        <f t="shared" si="2"/>
        <v>3998.1600000000035</v>
      </c>
      <c r="N22" s="137">
        <f t="shared" si="3"/>
        <v>7.4847801831619848E-2</v>
      </c>
      <c r="O22" s="135"/>
      <c r="P22" s="135">
        <f t="shared" si="12"/>
        <v>28771.599999999999</v>
      </c>
      <c r="Q22" s="135">
        <f t="shared" si="13"/>
        <v>29280.959999999999</v>
      </c>
      <c r="R22" s="135">
        <f t="shared" si="4"/>
        <v>58052.56</v>
      </c>
      <c r="S22" s="136"/>
      <c r="T22" s="135">
        <f t="shared" si="14"/>
        <v>637.19999999999709</v>
      </c>
      <c r="U22" s="137">
        <f t="shared" si="15"/>
        <v>1.1098075497567151E-2</v>
      </c>
      <c r="V22" s="135"/>
      <c r="W22" s="135">
        <f t="shared" si="16"/>
        <v>28728.400000000001</v>
      </c>
      <c r="X22" s="135">
        <f t="shared" si="17"/>
        <v>29280.959999999999</v>
      </c>
      <c r="Y22" s="135">
        <f t="shared" si="5"/>
        <v>58009.36</v>
      </c>
      <c r="Z22" s="136"/>
      <c r="AA22" s="135">
        <f t="shared" si="18"/>
        <v>-43.19999999999709</v>
      </c>
      <c r="AB22" s="137">
        <f t="shared" si="19"/>
        <v>-7.4415322941825631E-4</v>
      </c>
    </row>
    <row r="23" spans="1:29" x14ac:dyDescent="0.3">
      <c r="A23" s="1">
        <f t="shared" si="0"/>
        <v>23</v>
      </c>
      <c r="B23" s="31"/>
      <c r="C23" s="106">
        <v>2600</v>
      </c>
      <c r="D23" s="106">
        <f t="shared" si="6"/>
        <v>702000</v>
      </c>
      <c r="E23" s="135">
        <f t="shared" si="7"/>
        <v>77610.28</v>
      </c>
      <c r="F23" s="135">
        <f t="shared" si="8"/>
        <v>95163.12</v>
      </c>
      <c r="G23" s="135">
        <f t="shared" si="1"/>
        <v>172773.4</v>
      </c>
      <c r="H23" s="136"/>
      <c r="I23" s="135">
        <f t="shared" si="9"/>
        <v>90604.3</v>
      </c>
      <c r="J23" s="135">
        <f t="shared" si="10"/>
        <v>95163.12</v>
      </c>
      <c r="K23" s="135">
        <f t="shared" si="11"/>
        <v>185767.41999999998</v>
      </c>
      <c r="L23" s="136"/>
      <c r="M23" s="135">
        <f t="shared" si="2"/>
        <v>12994.01999999999</v>
      </c>
      <c r="N23" s="137">
        <f t="shared" si="3"/>
        <v>7.5208452227020994E-2</v>
      </c>
      <c r="O23" s="135"/>
      <c r="P23" s="135">
        <f t="shared" si="12"/>
        <v>92675.199999999997</v>
      </c>
      <c r="Q23" s="135">
        <f t="shared" si="13"/>
        <v>95163.12</v>
      </c>
      <c r="R23" s="135">
        <f t="shared" si="4"/>
        <v>187838.32</v>
      </c>
      <c r="S23" s="136"/>
      <c r="T23" s="135">
        <f t="shared" si="14"/>
        <v>2070.9000000000233</v>
      </c>
      <c r="U23" s="137">
        <f t="shared" si="15"/>
        <v>1.1147810525656348E-2</v>
      </c>
      <c r="V23" s="135"/>
      <c r="W23" s="135">
        <f t="shared" si="16"/>
        <v>92534.8</v>
      </c>
      <c r="X23" s="135">
        <f t="shared" si="17"/>
        <v>95163.12</v>
      </c>
      <c r="Y23" s="135">
        <f t="shared" si="5"/>
        <v>187697.91999999998</v>
      </c>
      <c r="Z23" s="136"/>
      <c r="AA23" s="135">
        <f t="shared" si="18"/>
        <v>-140.40000000002328</v>
      </c>
      <c r="AB23" s="137">
        <f t="shared" si="19"/>
        <v>-7.4745131877256607E-4</v>
      </c>
    </row>
    <row r="24" spans="1:29" x14ac:dyDescent="0.3">
      <c r="A24" s="1">
        <f t="shared" si="0"/>
        <v>24</v>
      </c>
      <c r="B24" s="31" t="s">
        <v>52</v>
      </c>
      <c r="C24" s="106">
        <v>600</v>
      </c>
      <c r="D24" s="106">
        <f t="shared" si="6"/>
        <v>162000</v>
      </c>
      <c r="E24" s="135">
        <f t="shared" si="7"/>
        <v>18194.68</v>
      </c>
      <c r="F24" s="135">
        <f t="shared" si="8"/>
        <v>21960.720000000001</v>
      </c>
      <c r="G24" s="135">
        <f t="shared" si="1"/>
        <v>40155.4</v>
      </c>
      <c r="H24" s="136"/>
      <c r="I24" s="135">
        <f t="shared" si="9"/>
        <v>21193.3</v>
      </c>
      <c r="J24" s="135">
        <f t="shared" si="10"/>
        <v>21960.720000000001</v>
      </c>
      <c r="K24" s="135">
        <f t="shared" si="11"/>
        <v>43154.020000000004</v>
      </c>
      <c r="L24" s="136"/>
      <c r="M24" s="135">
        <f t="shared" si="2"/>
        <v>2998.6200000000026</v>
      </c>
      <c r="N24" s="137">
        <f t="shared" si="3"/>
        <v>7.4675386124904805E-2</v>
      </c>
      <c r="O24" s="135"/>
      <c r="P24" s="135">
        <f t="shared" si="12"/>
        <v>21671.200000000001</v>
      </c>
      <c r="Q24" s="135">
        <f t="shared" si="13"/>
        <v>21960.720000000001</v>
      </c>
      <c r="R24" s="135">
        <f t="shared" si="4"/>
        <v>43631.92</v>
      </c>
      <c r="S24" s="136"/>
      <c r="T24" s="135">
        <f t="shared" si="14"/>
        <v>477.89999999999418</v>
      </c>
      <c r="U24" s="137">
        <f t="shared" si="15"/>
        <v>1.1074286937810061E-2</v>
      </c>
      <c r="V24" s="135"/>
      <c r="W24" s="135">
        <f t="shared" si="16"/>
        <v>21638.799999999999</v>
      </c>
      <c r="X24" s="135">
        <f t="shared" si="17"/>
        <v>21960.720000000001</v>
      </c>
      <c r="Y24" s="135">
        <f t="shared" si="5"/>
        <v>43599.520000000004</v>
      </c>
      <c r="Z24" s="136"/>
      <c r="AA24" s="135">
        <f t="shared" si="18"/>
        <v>-32.399999999994179</v>
      </c>
      <c r="AB24" s="137">
        <f t="shared" si="19"/>
        <v>-7.4257561895039645E-4</v>
      </c>
    </row>
    <row r="25" spans="1:29" x14ac:dyDescent="0.3">
      <c r="A25" s="1">
        <f t="shared" si="0"/>
        <v>25</v>
      </c>
      <c r="B25" s="31"/>
      <c r="C25" s="44"/>
      <c r="D25" s="106"/>
      <c r="E25" s="135"/>
      <c r="F25" s="135"/>
      <c r="G25" s="135"/>
      <c r="H25" s="136"/>
      <c r="I25" s="135"/>
      <c r="J25" s="135"/>
      <c r="K25" s="136"/>
      <c r="L25" s="136"/>
      <c r="M25" s="136"/>
      <c r="N25" s="44"/>
      <c r="O25" s="136"/>
      <c r="P25" s="135"/>
      <c r="Q25" s="135"/>
      <c r="R25" s="136"/>
      <c r="S25" s="136"/>
      <c r="T25" s="135"/>
      <c r="U25" s="137"/>
      <c r="V25" s="136"/>
      <c r="W25" s="135"/>
      <c r="X25" s="135"/>
      <c r="Y25" s="136"/>
      <c r="Z25" s="136"/>
      <c r="AA25" s="135"/>
      <c r="AB25" s="137"/>
    </row>
    <row r="26" spans="1:29" x14ac:dyDescent="0.3">
      <c r="A26" s="1">
        <f t="shared" si="0"/>
        <v>26</v>
      </c>
      <c r="B26" s="31"/>
      <c r="C26" s="44" t="s">
        <v>206</v>
      </c>
      <c r="D26" s="106">
        <v>445</v>
      </c>
      <c r="E26" s="135"/>
      <c r="F26" s="135"/>
      <c r="G26" s="135"/>
      <c r="H26" s="136"/>
      <c r="I26" s="135"/>
      <c r="J26" s="135"/>
      <c r="K26" s="136"/>
      <c r="L26" s="136"/>
      <c r="M26" s="136"/>
      <c r="N26" s="44"/>
      <c r="O26" s="136"/>
      <c r="P26" s="135"/>
      <c r="Q26" s="135"/>
      <c r="R26" s="136"/>
      <c r="S26" s="136"/>
      <c r="T26" s="135"/>
      <c r="U26" s="137"/>
      <c r="V26" s="136"/>
      <c r="W26" s="135"/>
      <c r="X26" s="135"/>
      <c r="Y26" s="136"/>
      <c r="Z26" s="136"/>
      <c r="AA26" s="135"/>
      <c r="AB26" s="137"/>
    </row>
    <row r="27" spans="1:29" x14ac:dyDescent="0.3">
      <c r="A27" s="1">
        <f t="shared" si="0"/>
        <v>27</v>
      </c>
      <c r="B27" s="31"/>
      <c r="C27" s="105">
        <v>50</v>
      </c>
      <c r="D27" s="106">
        <f>C27*$D$26</f>
        <v>22250</v>
      </c>
      <c r="E27" s="135">
        <f t="shared" si="7"/>
        <v>1926.62</v>
      </c>
      <c r="F27" s="135">
        <f>ROUND($G$87*D27,2)</f>
        <v>3016.21</v>
      </c>
      <c r="G27" s="135">
        <f t="shared" ref="G27:G36" si="20">SUM(E27:F27)</f>
        <v>4942.83</v>
      </c>
      <c r="H27" s="136"/>
      <c r="I27" s="135">
        <f t="shared" si="9"/>
        <v>2338.46</v>
      </c>
      <c r="J27" s="135">
        <f t="shared" si="10"/>
        <v>3016.21</v>
      </c>
      <c r="K27" s="135">
        <f t="shared" ref="K27:K36" si="21">SUM(I27:J27)</f>
        <v>5354.67</v>
      </c>
      <c r="L27" s="136"/>
      <c r="M27" s="135">
        <f t="shared" ref="M27:M36" si="22">+K27-G27</f>
        <v>411.84000000000015</v>
      </c>
      <c r="N27" s="137">
        <f t="shared" ref="N27:N36" si="23">+M27/G27</f>
        <v>8.3320688755227301E-2</v>
      </c>
      <c r="O27" s="135"/>
      <c r="P27" s="135">
        <f>ROUND($J$84+$C27*$J$85+$D27*$J$86,2)</f>
        <v>2404.1</v>
      </c>
      <c r="Q27" s="135">
        <f t="shared" si="13"/>
        <v>3016.21</v>
      </c>
      <c r="R27" s="135">
        <f t="shared" ref="R27:R36" si="24">SUM(P27:Q27)</f>
        <v>5420.3099999999995</v>
      </c>
      <c r="S27" s="136"/>
      <c r="T27" s="135">
        <f t="shared" si="14"/>
        <v>65.639999999999418</v>
      </c>
      <c r="U27" s="137">
        <f t="shared" si="15"/>
        <v>1.2258458504445542E-2</v>
      </c>
      <c r="V27" s="135"/>
      <c r="W27" s="135">
        <f t="shared" si="16"/>
        <v>2399.65</v>
      </c>
      <c r="X27" s="135">
        <f t="shared" si="17"/>
        <v>3016.21</v>
      </c>
      <c r="Y27" s="135">
        <f t="shared" ref="Y27:Y36" si="25">SUM(W27:X27)</f>
        <v>5415.8600000000006</v>
      </c>
      <c r="Z27" s="136"/>
      <c r="AA27" s="135">
        <f t="shared" si="18"/>
        <v>-4.4499999999989086</v>
      </c>
      <c r="AB27" s="137">
        <f t="shared" si="19"/>
        <v>-8.2098625355356226E-4</v>
      </c>
    </row>
    <row r="28" spans="1:29" x14ac:dyDescent="0.3">
      <c r="A28" s="1">
        <f t="shared" si="0"/>
        <v>28</v>
      </c>
      <c r="B28" s="31"/>
      <c r="C28" s="105">
        <v>155</v>
      </c>
      <c r="D28" s="106">
        <f t="shared" ref="D28:D36" si="26">C28*$D$26</f>
        <v>68975</v>
      </c>
      <c r="E28" s="135">
        <f t="shared" si="7"/>
        <v>5195.51</v>
      </c>
      <c r="F28" s="135">
        <f t="shared" ref="F28:F48" si="27">ROUND($G$87*D28,2)</f>
        <v>9350.25</v>
      </c>
      <c r="G28" s="135">
        <f t="shared" si="20"/>
        <v>14545.76</v>
      </c>
      <c r="H28" s="136"/>
      <c r="I28" s="135">
        <f t="shared" si="9"/>
        <v>6472.23</v>
      </c>
      <c r="J28" s="135">
        <f t="shared" si="10"/>
        <v>9350.25</v>
      </c>
      <c r="K28" s="135">
        <f t="shared" si="21"/>
        <v>15822.48</v>
      </c>
      <c r="L28" s="136"/>
      <c r="M28" s="135">
        <f t="shared" si="22"/>
        <v>1276.7199999999993</v>
      </c>
      <c r="N28" s="137">
        <f t="shared" si="23"/>
        <v>8.7772656774207689E-2</v>
      </c>
      <c r="O28" s="135"/>
      <c r="P28" s="135">
        <f t="shared" ref="P28:P36" si="28">ROUND($J$84+$C28*$J$85+$D28*$J$86,2)</f>
        <v>6675.71</v>
      </c>
      <c r="Q28" s="135">
        <f t="shared" si="13"/>
        <v>9350.25</v>
      </c>
      <c r="R28" s="135">
        <f t="shared" si="24"/>
        <v>16025.96</v>
      </c>
      <c r="S28" s="136"/>
      <c r="T28" s="135">
        <f t="shared" si="14"/>
        <v>203.47999999999956</v>
      </c>
      <c r="U28" s="137">
        <f t="shared" si="15"/>
        <v>1.2860183738579513E-2</v>
      </c>
      <c r="V28" s="135"/>
      <c r="W28" s="135">
        <f t="shared" si="16"/>
        <v>6661.92</v>
      </c>
      <c r="X28" s="135">
        <f t="shared" si="17"/>
        <v>9350.25</v>
      </c>
      <c r="Y28" s="135">
        <f t="shared" si="25"/>
        <v>16012.17</v>
      </c>
      <c r="Z28" s="136"/>
      <c r="AA28" s="135">
        <f t="shared" si="18"/>
        <v>-13.789999999999054</v>
      </c>
      <c r="AB28" s="137">
        <f t="shared" si="19"/>
        <v>-8.6047887302845229E-4</v>
      </c>
    </row>
    <row r="29" spans="1:29" x14ac:dyDescent="0.3">
      <c r="A29" s="1">
        <f t="shared" si="0"/>
        <v>29</v>
      </c>
      <c r="B29" s="31"/>
      <c r="C29" s="105">
        <v>260</v>
      </c>
      <c r="D29" s="106">
        <f t="shared" si="26"/>
        <v>115700</v>
      </c>
      <c r="E29" s="135">
        <f t="shared" si="7"/>
        <v>8464.4</v>
      </c>
      <c r="F29" s="135">
        <f t="shared" si="27"/>
        <v>15684.29</v>
      </c>
      <c r="G29" s="135">
        <f t="shared" si="20"/>
        <v>24148.690000000002</v>
      </c>
      <c r="H29" s="136"/>
      <c r="I29" s="135">
        <f t="shared" si="9"/>
        <v>10606.01</v>
      </c>
      <c r="J29" s="135">
        <f t="shared" si="10"/>
        <v>15684.29</v>
      </c>
      <c r="K29" s="135">
        <f t="shared" si="21"/>
        <v>26290.300000000003</v>
      </c>
      <c r="L29" s="136"/>
      <c r="M29" s="135">
        <f t="shared" si="22"/>
        <v>2141.6100000000006</v>
      </c>
      <c r="N29" s="137">
        <f t="shared" si="23"/>
        <v>8.8684313724678249E-2</v>
      </c>
      <c r="O29" s="135"/>
      <c r="P29" s="135">
        <f t="shared" si="28"/>
        <v>10947.32</v>
      </c>
      <c r="Q29" s="135">
        <f t="shared" si="13"/>
        <v>15684.29</v>
      </c>
      <c r="R29" s="135">
        <f t="shared" si="24"/>
        <v>26631.61</v>
      </c>
      <c r="S29" s="136"/>
      <c r="T29" s="135">
        <f t="shared" si="14"/>
        <v>341.30999999999767</v>
      </c>
      <c r="U29" s="137">
        <f t="shared" si="15"/>
        <v>1.2982354708770825E-2</v>
      </c>
      <c r="V29" s="135"/>
      <c r="W29" s="135">
        <f t="shared" si="16"/>
        <v>10924.18</v>
      </c>
      <c r="X29" s="135">
        <f t="shared" si="17"/>
        <v>15684.29</v>
      </c>
      <c r="Y29" s="135">
        <f t="shared" si="25"/>
        <v>26608.47</v>
      </c>
      <c r="Z29" s="136"/>
      <c r="AA29" s="135">
        <f t="shared" si="18"/>
        <v>-23.139999999999418</v>
      </c>
      <c r="AB29" s="137">
        <f t="shared" si="19"/>
        <v>-8.6889226749713654E-4</v>
      </c>
    </row>
    <row r="30" spans="1:29" x14ac:dyDescent="0.3">
      <c r="A30" s="1">
        <f t="shared" si="0"/>
        <v>30</v>
      </c>
      <c r="B30" s="31"/>
      <c r="C30" s="105">
        <v>380</v>
      </c>
      <c r="D30" s="106">
        <f t="shared" si="26"/>
        <v>169100</v>
      </c>
      <c r="E30" s="135">
        <f t="shared" si="7"/>
        <v>12200.27</v>
      </c>
      <c r="F30" s="135">
        <f t="shared" si="27"/>
        <v>22923.200000000001</v>
      </c>
      <c r="G30" s="135">
        <f t="shared" si="20"/>
        <v>35123.47</v>
      </c>
      <c r="H30" s="136"/>
      <c r="I30" s="135">
        <f>ROUND($I$84+$C30*$I$85+$D30*$I$86,2)</f>
        <v>15330.32</v>
      </c>
      <c r="J30" s="135">
        <f t="shared" si="10"/>
        <v>22923.200000000001</v>
      </c>
      <c r="K30" s="135">
        <f t="shared" si="21"/>
        <v>38253.520000000004</v>
      </c>
      <c r="L30" s="136"/>
      <c r="M30" s="135">
        <f t="shared" si="22"/>
        <v>3130.0500000000029</v>
      </c>
      <c r="N30" s="137">
        <f t="shared" si="23"/>
        <v>8.9115625534720883E-2</v>
      </c>
      <c r="O30" s="135"/>
      <c r="P30" s="135">
        <f>ROUND($J$84+$C30*$J$85+$D30*$J$86,2)</f>
        <v>15829.16</v>
      </c>
      <c r="Q30" s="135">
        <f>ROUND($J$87*D30,2)</f>
        <v>22923.200000000001</v>
      </c>
      <c r="R30" s="135">
        <f t="shared" si="24"/>
        <v>38752.36</v>
      </c>
      <c r="S30" s="136"/>
      <c r="T30" s="135">
        <f t="shared" si="14"/>
        <v>498.83999999999651</v>
      </c>
      <c r="U30" s="137">
        <f t="shared" si="15"/>
        <v>1.3040368572617539E-2</v>
      </c>
      <c r="V30" s="135"/>
      <c r="W30" s="135">
        <f t="shared" si="16"/>
        <v>15795.34</v>
      </c>
      <c r="X30" s="135">
        <f t="shared" si="17"/>
        <v>22923.200000000001</v>
      </c>
      <c r="Y30" s="135">
        <f t="shared" si="25"/>
        <v>38718.54</v>
      </c>
      <c r="Z30" s="136"/>
      <c r="AA30" s="135">
        <f t="shared" si="18"/>
        <v>-33.819999999999709</v>
      </c>
      <c r="AB30" s="137">
        <f t="shared" si="19"/>
        <v>-8.7272104202169127E-4</v>
      </c>
    </row>
    <row r="31" spans="1:29" x14ac:dyDescent="0.3">
      <c r="A31" s="1">
        <f t="shared" si="0"/>
        <v>31</v>
      </c>
      <c r="B31" s="31"/>
      <c r="C31" s="105">
        <v>500</v>
      </c>
      <c r="D31" s="106">
        <f t="shared" si="26"/>
        <v>222500</v>
      </c>
      <c r="E31" s="135">
        <f t="shared" si="7"/>
        <v>15936.15</v>
      </c>
      <c r="F31" s="135">
        <f t="shared" si="27"/>
        <v>30162.1</v>
      </c>
      <c r="G31" s="135">
        <f t="shared" si="20"/>
        <v>46098.25</v>
      </c>
      <c r="H31" s="136"/>
      <c r="I31" s="135">
        <f t="shared" si="9"/>
        <v>20054.63</v>
      </c>
      <c r="J31" s="135">
        <f>ROUND($I$87*D31,2)</f>
        <v>30162.1</v>
      </c>
      <c r="K31" s="135">
        <f t="shared" si="21"/>
        <v>50216.729999999996</v>
      </c>
      <c r="L31" s="136"/>
      <c r="M31" s="135">
        <f t="shared" si="22"/>
        <v>4118.4799999999959</v>
      </c>
      <c r="N31" s="137">
        <f t="shared" si="23"/>
        <v>8.9341352437456861E-2</v>
      </c>
      <c r="O31" s="135"/>
      <c r="P31" s="135">
        <f t="shared" si="28"/>
        <v>20711</v>
      </c>
      <c r="Q31" s="135">
        <f t="shared" si="13"/>
        <v>30162.1</v>
      </c>
      <c r="R31" s="135">
        <f t="shared" si="24"/>
        <v>50873.1</v>
      </c>
      <c r="S31" s="136"/>
      <c r="T31" s="135">
        <f t="shared" si="14"/>
        <v>656.37000000000262</v>
      </c>
      <c r="U31" s="137">
        <f t="shared" si="15"/>
        <v>1.3070743554986608E-2</v>
      </c>
      <c r="V31" s="135"/>
      <c r="W31" s="135">
        <f t="shared" si="16"/>
        <v>20666.5</v>
      </c>
      <c r="X31" s="135">
        <f>ROUND($K$87*D31,2)</f>
        <v>30162.1</v>
      </c>
      <c r="Y31" s="135">
        <f t="shared" si="25"/>
        <v>50828.6</v>
      </c>
      <c r="Z31" s="136"/>
      <c r="AA31" s="135">
        <f t="shared" si="18"/>
        <v>-44.5</v>
      </c>
      <c r="AB31" s="137">
        <f t="shared" si="19"/>
        <v>-8.7472554257554582E-4</v>
      </c>
      <c r="AC31" s="17"/>
    </row>
    <row r="32" spans="1:29" x14ac:dyDescent="0.3">
      <c r="A32" s="1">
        <f t="shared" si="0"/>
        <v>32</v>
      </c>
      <c r="B32" s="31"/>
      <c r="C32" s="105">
        <v>700</v>
      </c>
      <c r="D32" s="106">
        <f t="shared" si="26"/>
        <v>311500</v>
      </c>
      <c r="E32" s="135">
        <f>ROUND($G$84+$C32*$G$85+$D32*$G$86,2)</f>
        <v>22162.61</v>
      </c>
      <c r="F32" s="135">
        <f>ROUND($G$87*D32,2)</f>
        <v>42226.94</v>
      </c>
      <c r="G32" s="135">
        <f t="shared" si="20"/>
        <v>64389.55</v>
      </c>
      <c r="H32" s="136"/>
      <c r="I32" s="135">
        <f t="shared" si="9"/>
        <v>27928.48</v>
      </c>
      <c r="J32" s="135">
        <f t="shared" si="10"/>
        <v>42226.94</v>
      </c>
      <c r="K32" s="135">
        <f t="shared" si="21"/>
        <v>70155.42</v>
      </c>
      <c r="L32" s="136"/>
      <c r="M32" s="135">
        <f t="shared" si="22"/>
        <v>5765.8699999999953</v>
      </c>
      <c r="N32" s="137">
        <f t="shared" si="23"/>
        <v>8.9546673334415211E-2</v>
      </c>
      <c r="O32" s="135"/>
      <c r="P32" s="135">
        <f t="shared" si="28"/>
        <v>28847.4</v>
      </c>
      <c r="Q32" s="135">
        <f t="shared" si="13"/>
        <v>42226.94</v>
      </c>
      <c r="R32" s="135">
        <f t="shared" si="24"/>
        <v>71074.34</v>
      </c>
      <c r="S32" s="136"/>
      <c r="T32" s="135">
        <f t="shared" si="14"/>
        <v>918.91999999999825</v>
      </c>
      <c r="U32" s="137">
        <f t="shared" si="15"/>
        <v>1.3098346499814244E-2</v>
      </c>
      <c r="V32" s="135"/>
      <c r="W32" s="135">
        <f t="shared" si="16"/>
        <v>28785.1</v>
      </c>
      <c r="X32" s="135">
        <f t="shared" si="17"/>
        <v>42226.94</v>
      </c>
      <c r="Y32" s="135">
        <f t="shared" si="25"/>
        <v>71012.040000000008</v>
      </c>
      <c r="Z32" s="136"/>
      <c r="AA32" s="135">
        <f t="shared" si="18"/>
        <v>-62.299999999988358</v>
      </c>
      <c r="AB32" s="137">
        <f t="shared" si="19"/>
        <v>-8.7654700697872628E-4</v>
      </c>
      <c r="AC32" s="17"/>
    </row>
    <row r="33" spans="1:29" x14ac:dyDescent="0.3">
      <c r="A33" s="1">
        <f t="shared" si="0"/>
        <v>33</v>
      </c>
      <c r="B33" s="31"/>
      <c r="C33" s="105">
        <v>950</v>
      </c>
      <c r="D33" s="106">
        <f t="shared" si="26"/>
        <v>422750</v>
      </c>
      <c r="E33" s="135">
        <f t="shared" si="7"/>
        <v>29945.69</v>
      </c>
      <c r="F33" s="135">
        <f t="shared" si="27"/>
        <v>57307.99</v>
      </c>
      <c r="G33" s="135">
        <f t="shared" si="20"/>
        <v>87253.68</v>
      </c>
      <c r="H33" s="136"/>
      <c r="I33" s="135">
        <f t="shared" si="9"/>
        <v>37770.79</v>
      </c>
      <c r="J33" s="135">
        <f t="shared" si="10"/>
        <v>57307.99</v>
      </c>
      <c r="K33" s="135">
        <f t="shared" si="21"/>
        <v>95078.78</v>
      </c>
      <c r="L33" s="136"/>
      <c r="M33" s="135">
        <f t="shared" si="22"/>
        <v>7825.1000000000058</v>
      </c>
      <c r="N33" s="137">
        <f t="shared" si="23"/>
        <v>8.968217730186287E-2</v>
      </c>
      <c r="O33" s="135"/>
      <c r="P33" s="135">
        <f t="shared" si="28"/>
        <v>39017.9</v>
      </c>
      <c r="Q33" s="135">
        <f t="shared" si="13"/>
        <v>57307.99</v>
      </c>
      <c r="R33" s="135">
        <f t="shared" si="24"/>
        <v>96325.89</v>
      </c>
      <c r="S33" s="136"/>
      <c r="T33" s="135">
        <f t="shared" si="14"/>
        <v>1247.1100000000006</v>
      </c>
      <c r="U33" s="137">
        <f t="shared" si="15"/>
        <v>1.3116596573914816E-2</v>
      </c>
      <c r="V33" s="135"/>
      <c r="W33" s="135">
        <f>ROUND($K$84+$C33*$K$85+$D33*$K$86,2)</f>
        <v>38933.35</v>
      </c>
      <c r="X33" s="135">
        <f t="shared" si="17"/>
        <v>57307.99</v>
      </c>
      <c r="Y33" s="135">
        <f t="shared" si="25"/>
        <v>96241.34</v>
      </c>
      <c r="Z33" s="136"/>
      <c r="AA33" s="135">
        <f t="shared" si="18"/>
        <v>-84.55000000000291</v>
      </c>
      <c r="AB33" s="137">
        <f t="shared" si="19"/>
        <v>-8.777494814738064E-4</v>
      </c>
      <c r="AC33" s="17"/>
    </row>
    <row r="34" spans="1:29" x14ac:dyDescent="0.3">
      <c r="A34" s="1">
        <f t="shared" si="0"/>
        <v>34</v>
      </c>
      <c r="B34" s="31"/>
      <c r="C34" s="105">
        <v>1400</v>
      </c>
      <c r="D34" s="106">
        <f t="shared" si="26"/>
        <v>623000</v>
      </c>
      <c r="E34" s="135">
        <f t="shared" si="7"/>
        <v>43955.22</v>
      </c>
      <c r="F34" s="135">
        <f t="shared" si="27"/>
        <v>84453.88</v>
      </c>
      <c r="G34" s="135">
        <f t="shared" si="20"/>
        <v>128409.1</v>
      </c>
      <c r="H34" s="136"/>
      <c r="I34" s="135">
        <f t="shared" si="9"/>
        <v>55486.95</v>
      </c>
      <c r="J34" s="135">
        <f t="shared" si="10"/>
        <v>84453.88</v>
      </c>
      <c r="K34" s="135">
        <f t="shared" si="21"/>
        <v>139940.83000000002</v>
      </c>
      <c r="L34" s="136"/>
      <c r="M34" s="135">
        <f t="shared" si="22"/>
        <v>11531.73000000001</v>
      </c>
      <c r="N34" s="137">
        <f t="shared" si="23"/>
        <v>8.9804616651000674E-2</v>
      </c>
      <c r="O34" s="135"/>
      <c r="P34" s="135">
        <f t="shared" si="28"/>
        <v>57324.800000000003</v>
      </c>
      <c r="Q34" s="135">
        <f t="shared" si="13"/>
        <v>84453.88</v>
      </c>
      <c r="R34" s="135">
        <f t="shared" si="24"/>
        <v>141778.68</v>
      </c>
      <c r="S34" s="136"/>
      <c r="T34" s="135">
        <f t="shared" si="14"/>
        <v>1837.8499999999767</v>
      </c>
      <c r="U34" s="137">
        <f t="shared" si="15"/>
        <v>1.3133050590024202E-2</v>
      </c>
      <c r="V34" s="135"/>
      <c r="W34" s="135">
        <f t="shared" si="16"/>
        <v>57200.2</v>
      </c>
      <c r="X34" s="135">
        <f t="shared" si="17"/>
        <v>84453.88</v>
      </c>
      <c r="Y34" s="135">
        <f t="shared" si="25"/>
        <v>141654.08000000002</v>
      </c>
      <c r="Z34" s="136"/>
      <c r="AA34" s="135">
        <f t="shared" si="18"/>
        <v>-124.59999999997672</v>
      </c>
      <c r="AB34" s="137">
        <f t="shared" si="19"/>
        <v>-8.7883453280829477E-4</v>
      </c>
      <c r="AC34" s="17"/>
    </row>
    <row r="35" spans="1:29" x14ac:dyDescent="0.3">
      <c r="A35" s="1">
        <f t="shared" si="0"/>
        <v>35</v>
      </c>
      <c r="B35" s="31"/>
      <c r="C35" s="106">
        <v>3000</v>
      </c>
      <c r="D35" s="106">
        <f t="shared" si="26"/>
        <v>1335000</v>
      </c>
      <c r="E35" s="135">
        <f t="shared" si="7"/>
        <v>93766.9</v>
      </c>
      <c r="F35" s="135">
        <f t="shared" si="27"/>
        <v>180972.6</v>
      </c>
      <c r="G35" s="135">
        <f t="shared" si="20"/>
        <v>274739.5</v>
      </c>
      <c r="H35" s="136"/>
      <c r="I35" s="135">
        <f t="shared" si="9"/>
        <v>118477.75</v>
      </c>
      <c r="J35" s="135">
        <f t="shared" si="10"/>
        <v>180972.6</v>
      </c>
      <c r="K35" s="135">
        <f t="shared" si="21"/>
        <v>299450.34999999998</v>
      </c>
      <c r="L35" s="136"/>
      <c r="M35" s="135">
        <f t="shared" si="22"/>
        <v>24710.849999999977</v>
      </c>
      <c r="N35" s="137">
        <f t="shared" si="23"/>
        <v>8.9942836759912492E-2</v>
      </c>
      <c r="O35" s="135"/>
      <c r="P35" s="135">
        <f t="shared" si="28"/>
        <v>122416</v>
      </c>
      <c r="Q35" s="135">
        <f t="shared" si="13"/>
        <v>180972.6</v>
      </c>
      <c r="R35" s="135">
        <f t="shared" si="24"/>
        <v>303388.59999999998</v>
      </c>
      <c r="S35" s="136"/>
      <c r="T35" s="135">
        <f t="shared" si="14"/>
        <v>3938.25</v>
      </c>
      <c r="U35" s="137">
        <f t="shared" si="15"/>
        <v>1.3151595915650125E-2</v>
      </c>
      <c r="V35" s="135"/>
      <c r="W35" s="135">
        <f t="shared" si="16"/>
        <v>122149</v>
      </c>
      <c r="X35" s="135">
        <f t="shared" si="17"/>
        <v>180972.6</v>
      </c>
      <c r="Y35" s="135">
        <f t="shared" si="25"/>
        <v>303121.59999999998</v>
      </c>
      <c r="Z35" s="136"/>
      <c r="AA35" s="135">
        <f t="shared" si="18"/>
        <v>-267</v>
      </c>
      <c r="AB35" s="137">
        <f t="shared" si="19"/>
        <v>-8.8005943532486067E-4</v>
      </c>
      <c r="AC35" s="17"/>
    </row>
    <row r="36" spans="1:29" x14ac:dyDescent="0.3">
      <c r="A36" s="1">
        <f t="shared" si="0"/>
        <v>36</v>
      </c>
      <c r="B36" s="31" t="s">
        <v>52</v>
      </c>
      <c r="C36" s="106">
        <v>828</v>
      </c>
      <c r="D36" s="106">
        <f t="shared" si="26"/>
        <v>368460</v>
      </c>
      <c r="E36" s="135">
        <f t="shared" si="7"/>
        <v>26147.54</v>
      </c>
      <c r="F36" s="135">
        <f t="shared" si="27"/>
        <v>49948.44</v>
      </c>
      <c r="G36" s="135">
        <f t="shared" si="20"/>
        <v>76095.98000000001</v>
      </c>
      <c r="H36" s="136"/>
      <c r="I36" s="135">
        <f t="shared" si="9"/>
        <v>32967.74</v>
      </c>
      <c r="J36" s="135">
        <f t="shared" si="10"/>
        <v>49948.44</v>
      </c>
      <c r="K36" s="135">
        <f t="shared" si="21"/>
        <v>82916.179999999993</v>
      </c>
      <c r="L36" s="136"/>
      <c r="M36" s="135">
        <f t="shared" si="22"/>
        <v>6820.1999999999825</v>
      </c>
      <c r="N36" s="137">
        <f t="shared" si="23"/>
        <v>8.9626285120448956E-2</v>
      </c>
      <c r="O36" s="135"/>
      <c r="P36" s="135">
        <f t="shared" si="28"/>
        <v>34054.699999999997</v>
      </c>
      <c r="Q36" s="135">
        <f t="shared" si="13"/>
        <v>49948.44</v>
      </c>
      <c r="R36" s="135">
        <f t="shared" si="24"/>
        <v>84003.14</v>
      </c>
      <c r="S36" s="136"/>
      <c r="T36" s="135">
        <f t="shared" si="14"/>
        <v>1086.9600000000064</v>
      </c>
      <c r="U36" s="137">
        <f t="shared" si="15"/>
        <v>1.31091422687346E-2</v>
      </c>
      <c r="V36" s="135"/>
      <c r="W36" s="135">
        <f t="shared" si="16"/>
        <v>33981</v>
      </c>
      <c r="X36" s="135">
        <f t="shared" si="17"/>
        <v>49948.44</v>
      </c>
      <c r="Y36" s="135">
        <f t="shared" si="25"/>
        <v>83929.44</v>
      </c>
      <c r="Z36" s="136"/>
      <c r="AA36" s="135">
        <f t="shared" si="18"/>
        <v>-73.69999999999709</v>
      </c>
      <c r="AB36" s="137">
        <f t="shared" si="19"/>
        <v>-8.7734815627126667E-4</v>
      </c>
      <c r="AC36" s="17"/>
    </row>
    <row r="37" spans="1:29" x14ac:dyDescent="0.3">
      <c r="A37" s="1">
        <f t="shared" si="0"/>
        <v>37</v>
      </c>
      <c r="B37" s="31"/>
      <c r="C37" s="106"/>
      <c r="D37" s="106"/>
      <c r="E37" s="135"/>
      <c r="F37" s="135"/>
      <c r="G37" s="135"/>
      <c r="H37" s="136"/>
      <c r="I37" s="135"/>
      <c r="J37" s="135"/>
      <c r="K37" s="135"/>
      <c r="L37" s="136"/>
      <c r="M37" s="135"/>
      <c r="N37" s="137"/>
      <c r="O37" s="135"/>
      <c r="P37" s="135"/>
      <c r="Q37" s="135"/>
      <c r="R37" s="135"/>
      <c r="S37" s="136"/>
      <c r="T37" s="135"/>
      <c r="U37" s="137"/>
      <c r="V37" s="135"/>
      <c r="W37" s="135"/>
      <c r="X37" s="135"/>
      <c r="Y37" s="135"/>
      <c r="Z37" s="136"/>
      <c r="AA37" s="135"/>
      <c r="AB37" s="137"/>
      <c r="AC37" s="17"/>
    </row>
    <row r="38" spans="1:29" x14ac:dyDescent="0.3">
      <c r="A38" s="1">
        <f t="shared" si="0"/>
        <v>38</v>
      </c>
      <c r="B38" s="31"/>
      <c r="C38" s="196" t="s">
        <v>206</v>
      </c>
      <c r="D38" s="106">
        <v>580</v>
      </c>
      <c r="E38" s="135"/>
      <c r="F38" s="135"/>
      <c r="G38" s="135"/>
      <c r="H38" s="136"/>
      <c r="I38" s="135"/>
      <c r="J38" s="135"/>
      <c r="K38" s="135"/>
      <c r="L38" s="136"/>
      <c r="M38" s="135"/>
      <c r="N38" s="137"/>
      <c r="O38" s="135"/>
      <c r="P38" s="135"/>
      <c r="Q38" s="135"/>
      <c r="R38" s="135"/>
      <c r="S38" s="136"/>
      <c r="T38" s="135"/>
      <c r="U38" s="137"/>
      <c r="V38" s="135"/>
      <c r="W38" s="135"/>
      <c r="X38" s="135"/>
      <c r="Y38" s="135"/>
      <c r="Z38" s="136"/>
      <c r="AA38" s="135"/>
      <c r="AB38" s="137"/>
      <c r="AC38" s="17"/>
    </row>
    <row r="39" spans="1:29" x14ac:dyDescent="0.3">
      <c r="A39" s="1">
        <f t="shared" si="0"/>
        <v>39</v>
      </c>
      <c r="B39" s="31"/>
      <c r="C39" s="106">
        <v>110</v>
      </c>
      <c r="D39" s="106">
        <f>C39*$D$38</f>
        <v>63800</v>
      </c>
      <c r="E39" s="135">
        <f t="shared" si="7"/>
        <v>3915.43</v>
      </c>
      <c r="F39" s="135">
        <f t="shared" si="27"/>
        <v>8648.73</v>
      </c>
      <c r="G39" s="135">
        <f t="shared" ref="G39:G48" si="29">SUM(E39:F39)</f>
        <v>12564.16</v>
      </c>
      <c r="H39" s="136"/>
      <c r="I39" s="135">
        <f t="shared" si="9"/>
        <v>5096.37</v>
      </c>
      <c r="J39" s="135">
        <f t="shared" si="10"/>
        <v>8648.73</v>
      </c>
      <c r="K39" s="135">
        <f t="shared" ref="K39:K48" si="30">SUM(I39:J39)</f>
        <v>13745.099999999999</v>
      </c>
      <c r="L39" s="136"/>
      <c r="M39" s="135">
        <f t="shared" ref="M39:M48" si="31">+K39-G39</f>
        <v>1180.9399999999987</v>
      </c>
      <c r="N39" s="137">
        <f t="shared" ref="N39:N48" si="32">+M39/G39</f>
        <v>9.3992753992308178E-2</v>
      </c>
      <c r="O39" s="135"/>
      <c r="P39" s="135">
        <f>ROUND($J$84+$C39*$J$85+$D39*$J$86,2)</f>
        <v>5284.58</v>
      </c>
      <c r="Q39" s="135">
        <f t="shared" si="13"/>
        <v>8648.73</v>
      </c>
      <c r="R39" s="135">
        <f t="shared" ref="R39:R48" si="33">SUM(P39:Q39)</f>
        <v>13933.31</v>
      </c>
      <c r="S39" s="136"/>
      <c r="T39" s="135">
        <f t="shared" si="14"/>
        <v>188.21000000000095</v>
      </c>
      <c r="U39" s="137">
        <f t="shared" si="15"/>
        <v>1.3692879644382433E-2</v>
      </c>
      <c r="V39" s="135"/>
      <c r="W39" s="135">
        <f t="shared" si="16"/>
        <v>5271.82</v>
      </c>
      <c r="X39" s="135">
        <f t="shared" si="17"/>
        <v>8648.73</v>
      </c>
      <c r="Y39" s="135">
        <f t="shared" ref="Y39:Y48" si="34">SUM(W39:X39)</f>
        <v>13920.55</v>
      </c>
      <c r="Z39" s="136"/>
      <c r="AA39" s="135">
        <f t="shared" si="18"/>
        <v>-12.760000000000218</v>
      </c>
      <c r="AB39" s="137">
        <f t="shared" si="19"/>
        <v>-9.1579100730553031E-4</v>
      </c>
      <c r="AC39" s="17"/>
    </row>
    <row r="40" spans="1:29" x14ac:dyDescent="0.3">
      <c r="A40" s="1">
        <f t="shared" si="0"/>
        <v>40</v>
      </c>
      <c r="B40" s="31"/>
      <c r="C40" s="106">
        <v>275</v>
      </c>
      <c r="D40" s="106">
        <f t="shared" ref="D40:D48" si="35">C40*$D$38</f>
        <v>159500</v>
      </c>
      <c r="E40" s="135">
        <f t="shared" si="7"/>
        <v>9233.58</v>
      </c>
      <c r="F40" s="135">
        <f t="shared" si="27"/>
        <v>21621.82</v>
      </c>
      <c r="G40" s="135">
        <f t="shared" si="29"/>
        <v>30855.4</v>
      </c>
      <c r="H40" s="136"/>
      <c r="I40" s="135">
        <f t="shared" si="9"/>
        <v>12185.93</v>
      </c>
      <c r="J40" s="135">
        <f t="shared" si="10"/>
        <v>21621.82</v>
      </c>
      <c r="K40" s="135">
        <f t="shared" si="30"/>
        <v>33807.75</v>
      </c>
      <c r="L40" s="136"/>
      <c r="M40" s="135">
        <f t="shared" si="31"/>
        <v>2952.3499999999985</v>
      </c>
      <c r="N40" s="137">
        <f t="shared" si="32"/>
        <v>9.5683413600212555E-2</v>
      </c>
      <c r="O40" s="135"/>
      <c r="P40" s="135">
        <f t="shared" ref="P40:P48" si="36">ROUND($J$84+$C40*$J$85+$D40*$J$86,2)</f>
        <v>12656.45</v>
      </c>
      <c r="Q40" s="135">
        <f t="shared" si="13"/>
        <v>21621.82</v>
      </c>
      <c r="R40" s="135">
        <f t="shared" si="33"/>
        <v>34278.270000000004</v>
      </c>
      <c r="S40" s="136"/>
      <c r="T40" s="135">
        <f t="shared" si="14"/>
        <v>470.52000000000407</v>
      </c>
      <c r="U40" s="137">
        <f t="shared" si="15"/>
        <v>1.3917518912083888E-2</v>
      </c>
      <c r="V40" s="135"/>
      <c r="W40" s="135">
        <f t="shared" si="16"/>
        <v>12624.55</v>
      </c>
      <c r="X40" s="135">
        <f t="shared" si="17"/>
        <v>21621.82</v>
      </c>
      <c r="Y40" s="135">
        <f t="shared" si="34"/>
        <v>34246.369999999995</v>
      </c>
      <c r="Z40" s="136"/>
      <c r="AA40" s="135">
        <f t="shared" si="18"/>
        <v>-31.900000000008731</v>
      </c>
      <c r="AB40" s="137">
        <f t="shared" si="19"/>
        <v>-9.3061872725807714E-4</v>
      </c>
      <c r="AC40" s="17"/>
    </row>
    <row r="41" spans="1:29" x14ac:dyDescent="0.3">
      <c r="A41" s="1">
        <f t="shared" si="0"/>
        <v>41</v>
      </c>
      <c r="B41" s="31"/>
      <c r="C41" s="106">
        <v>410</v>
      </c>
      <c r="D41" s="106">
        <f t="shared" si="35"/>
        <v>237800</v>
      </c>
      <c r="E41" s="135">
        <f t="shared" si="7"/>
        <v>13584.79</v>
      </c>
      <c r="F41" s="135">
        <f t="shared" si="27"/>
        <v>32236.17</v>
      </c>
      <c r="G41" s="135">
        <f t="shared" si="29"/>
        <v>45820.959999999999</v>
      </c>
      <c r="H41" s="136"/>
      <c r="I41" s="135">
        <f t="shared" si="9"/>
        <v>17986.47</v>
      </c>
      <c r="J41" s="135">
        <f t="shared" si="10"/>
        <v>32236.17</v>
      </c>
      <c r="K41" s="135">
        <f t="shared" si="30"/>
        <v>50222.64</v>
      </c>
      <c r="L41" s="136"/>
      <c r="M41" s="135">
        <f t="shared" si="31"/>
        <v>4401.68</v>
      </c>
      <c r="N41" s="137">
        <f t="shared" si="32"/>
        <v>9.6062587951016312E-2</v>
      </c>
      <c r="O41" s="135"/>
      <c r="P41" s="135">
        <f t="shared" si="36"/>
        <v>18687.98</v>
      </c>
      <c r="Q41" s="135">
        <f t="shared" si="13"/>
        <v>32236.17</v>
      </c>
      <c r="R41" s="135">
        <f t="shared" si="33"/>
        <v>50924.149999999994</v>
      </c>
      <c r="S41" s="136"/>
      <c r="T41" s="135">
        <f t="shared" si="14"/>
        <v>701.50999999999476</v>
      </c>
      <c r="U41" s="137">
        <f t="shared" si="15"/>
        <v>1.39680032750169E-2</v>
      </c>
      <c r="V41" s="135"/>
      <c r="W41" s="135">
        <f t="shared" si="16"/>
        <v>18640.419999999998</v>
      </c>
      <c r="X41" s="135">
        <f t="shared" si="17"/>
        <v>32236.17</v>
      </c>
      <c r="Y41" s="135">
        <f t="shared" si="34"/>
        <v>50876.59</v>
      </c>
      <c r="Z41" s="136"/>
      <c r="AA41" s="135">
        <f t="shared" si="18"/>
        <v>-47.559999999997672</v>
      </c>
      <c r="AB41" s="137">
        <f t="shared" si="19"/>
        <v>-9.3393802351139253E-4</v>
      </c>
      <c r="AC41" s="17"/>
    </row>
    <row r="42" spans="1:29" x14ac:dyDescent="0.3">
      <c r="A42" s="1">
        <f t="shared" si="0"/>
        <v>42</v>
      </c>
      <c r="B42" s="31"/>
      <c r="C42" s="106">
        <v>580</v>
      </c>
      <c r="D42" s="106">
        <f t="shared" si="35"/>
        <v>336400</v>
      </c>
      <c r="E42" s="135">
        <f t="shared" si="7"/>
        <v>19064.099999999999</v>
      </c>
      <c r="F42" s="135">
        <f t="shared" si="27"/>
        <v>45602.38</v>
      </c>
      <c r="G42" s="135">
        <f t="shared" si="29"/>
        <v>64666.479999999996</v>
      </c>
      <c r="H42" s="136"/>
      <c r="I42" s="135">
        <f t="shared" si="9"/>
        <v>25290.86</v>
      </c>
      <c r="J42" s="135">
        <f t="shared" si="10"/>
        <v>45602.38</v>
      </c>
      <c r="K42" s="135">
        <f t="shared" si="30"/>
        <v>70893.239999999991</v>
      </c>
      <c r="L42" s="136"/>
      <c r="M42" s="135">
        <f t="shared" si="31"/>
        <v>6226.7599999999948</v>
      </c>
      <c r="N42" s="137">
        <f t="shared" si="32"/>
        <v>9.6290381044398812E-2</v>
      </c>
      <c r="O42" s="135"/>
      <c r="P42" s="135">
        <f>ROUND($J$84+$C42*$J$85+$D42*$J$86,2)</f>
        <v>26283.24</v>
      </c>
      <c r="Q42" s="135">
        <f t="shared" si="13"/>
        <v>45602.38</v>
      </c>
      <c r="R42" s="135">
        <f t="shared" si="33"/>
        <v>71885.62</v>
      </c>
      <c r="S42" s="136"/>
      <c r="T42" s="135">
        <f t="shared" si="14"/>
        <v>992.38000000000466</v>
      </c>
      <c r="U42" s="137">
        <f t="shared" si="15"/>
        <v>1.3998231707282736E-2</v>
      </c>
      <c r="V42" s="135"/>
      <c r="W42" s="135">
        <f t="shared" si="16"/>
        <v>26215.96</v>
      </c>
      <c r="X42" s="135">
        <f>ROUND($K$87*D42,2)</f>
        <v>45602.38</v>
      </c>
      <c r="Y42" s="135">
        <f t="shared" si="34"/>
        <v>71818.34</v>
      </c>
      <c r="Z42" s="136"/>
      <c r="AA42" s="135">
        <f t="shared" si="18"/>
        <v>-67.279999999998836</v>
      </c>
      <c r="AB42" s="137">
        <f t="shared" si="19"/>
        <v>-9.3593127526755472E-4</v>
      </c>
      <c r="AC42" s="17"/>
    </row>
    <row r="43" spans="1:29" x14ac:dyDescent="0.3">
      <c r="A43" s="1">
        <f t="shared" si="0"/>
        <v>43</v>
      </c>
      <c r="B43" s="31"/>
      <c r="C43" s="106">
        <v>860</v>
      </c>
      <c r="D43" s="106">
        <f t="shared" si="35"/>
        <v>498800</v>
      </c>
      <c r="E43" s="135">
        <f>ROUND($G$84+$C43*$G$85+$D43*$G$86,2)</f>
        <v>28088.83</v>
      </c>
      <c r="F43" s="135">
        <f>ROUND($G$87*D43,2)</f>
        <v>67617.33</v>
      </c>
      <c r="G43" s="135">
        <f t="shared" si="29"/>
        <v>95706.16</v>
      </c>
      <c r="H43" s="136"/>
      <c r="I43" s="135">
        <f t="shared" si="9"/>
        <v>37321.620000000003</v>
      </c>
      <c r="J43" s="135">
        <f t="shared" si="10"/>
        <v>67617.33</v>
      </c>
      <c r="K43" s="135">
        <f t="shared" si="30"/>
        <v>104938.95000000001</v>
      </c>
      <c r="L43" s="136"/>
      <c r="M43" s="135">
        <f t="shared" si="31"/>
        <v>9232.7900000000081</v>
      </c>
      <c r="N43" s="137">
        <f t="shared" si="32"/>
        <v>9.6470174960525082E-2</v>
      </c>
      <c r="O43" s="135"/>
      <c r="P43" s="135">
        <f t="shared" si="36"/>
        <v>38793.08</v>
      </c>
      <c r="Q43" s="135">
        <f t="shared" si="13"/>
        <v>67617.33</v>
      </c>
      <c r="R43" s="135">
        <f t="shared" si="33"/>
        <v>106410.41</v>
      </c>
      <c r="S43" s="136"/>
      <c r="T43" s="135">
        <f t="shared" si="14"/>
        <v>1471.4599999999919</v>
      </c>
      <c r="U43" s="137">
        <f t="shared" si="15"/>
        <v>1.4022057586815875E-2</v>
      </c>
      <c r="V43" s="135"/>
      <c r="W43" s="135">
        <f>ROUND($K$84+$C43*$K$85+$D43*$K$86,2)</f>
        <v>38693.32</v>
      </c>
      <c r="X43" s="135">
        <f t="shared" si="17"/>
        <v>67617.33</v>
      </c>
      <c r="Y43" s="135">
        <f t="shared" si="34"/>
        <v>106310.65</v>
      </c>
      <c r="Z43" s="136"/>
      <c r="AA43" s="135">
        <f t="shared" si="18"/>
        <v>-99.760000000009313</v>
      </c>
      <c r="AB43" s="137">
        <f t="shared" si="19"/>
        <v>-9.3750226129200431E-4</v>
      </c>
      <c r="AC43" s="17"/>
    </row>
    <row r="44" spans="1:29" x14ac:dyDescent="0.3">
      <c r="A44" s="1">
        <f t="shared" si="0"/>
        <v>44</v>
      </c>
      <c r="B44" s="31"/>
      <c r="C44" s="106">
        <v>1250</v>
      </c>
      <c r="D44" s="106">
        <f t="shared" si="35"/>
        <v>725000</v>
      </c>
      <c r="E44" s="135">
        <f t="shared" si="7"/>
        <v>40659</v>
      </c>
      <c r="F44" s="135">
        <f t="shared" si="27"/>
        <v>98281</v>
      </c>
      <c r="G44" s="135">
        <f t="shared" si="29"/>
        <v>138940</v>
      </c>
      <c r="H44" s="136"/>
      <c r="I44" s="135">
        <f>ROUND($I$84+$C44*$I$85+$D44*$I$86,2)</f>
        <v>54078.75</v>
      </c>
      <c r="J44" s="135">
        <f>ROUND($I$87*D44,2)</f>
        <v>98281</v>
      </c>
      <c r="K44" s="135">
        <f t="shared" si="30"/>
        <v>152359.75</v>
      </c>
      <c r="L44" s="136"/>
      <c r="M44" s="135">
        <f t="shared" si="31"/>
        <v>13419.75</v>
      </c>
      <c r="N44" s="137">
        <f t="shared" si="32"/>
        <v>9.6586656110551311E-2</v>
      </c>
      <c r="O44" s="135"/>
      <c r="P44" s="135">
        <f t="shared" si="36"/>
        <v>56217.5</v>
      </c>
      <c r="Q44" s="135">
        <f>ROUND($J$87*D44,2)</f>
        <v>98281</v>
      </c>
      <c r="R44" s="135">
        <f t="shared" si="33"/>
        <v>154498.5</v>
      </c>
      <c r="S44" s="136"/>
      <c r="T44" s="135">
        <f t="shared" si="14"/>
        <v>2138.75</v>
      </c>
      <c r="U44" s="137">
        <f t="shared" si="15"/>
        <v>1.4037500061532E-2</v>
      </c>
      <c r="V44" s="135"/>
      <c r="W44" s="135">
        <f t="shared" si="16"/>
        <v>56072.5</v>
      </c>
      <c r="X44" s="135">
        <f t="shared" si="17"/>
        <v>98281</v>
      </c>
      <c r="Y44" s="135">
        <f t="shared" si="34"/>
        <v>154353.5</v>
      </c>
      <c r="Z44" s="136"/>
      <c r="AA44" s="135">
        <f t="shared" si="18"/>
        <v>-145</v>
      </c>
      <c r="AB44" s="137">
        <f t="shared" si="19"/>
        <v>-9.3852043870976099E-4</v>
      </c>
      <c r="AC44" s="17"/>
    </row>
    <row r="45" spans="1:29" x14ac:dyDescent="0.3">
      <c r="A45" s="1">
        <f t="shared" si="0"/>
        <v>45</v>
      </c>
      <c r="B45" s="31"/>
      <c r="C45" s="106">
        <v>1350</v>
      </c>
      <c r="D45" s="106">
        <f t="shared" si="35"/>
        <v>783000</v>
      </c>
      <c r="E45" s="135">
        <f t="shared" si="7"/>
        <v>43882.12</v>
      </c>
      <c r="F45" s="135">
        <f t="shared" si="27"/>
        <v>106143.48</v>
      </c>
      <c r="G45" s="135">
        <f t="shared" si="29"/>
        <v>150025.60000000001</v>
      </c>
      <c r="H45" s="136"/>
      <c r="I45" s="135">
        <f t="shared" si="9"/>
        <v>58375.45</v>
      </c>
      <c r="J45" s="135">
        <f t="shared" si="10"/>
        <v>106143.48</v>
      </c>
      <c r="K45" s="135">
        <f t="shared" si="30"/>
        <v>164518.93</v>
      </c>
      <c r="L45" s="136"/>
      <c r="M45" s="135">
        <f t="shared" si="31"/>
        <v>14493.329999999987</v>
      </c>
      <c r="N45" s="137">
        <f t="shared" si="32"/>
        <v>9.6605712625045234E-2</v>
      </c>
      <c r="O45" s="135"/>
      <c r="P45" s="135">
        <f t="shared" si="36"/>
        <v>60685.3</v>
      </c>
      <c r="Q45" s="135">
        <f t="shared" si="13"/>
        <v>106143.48</v>
      </c>
      <c r="R45" s="135">
        <f t="shared" si="33"/>
        <v>166828.78</v>
      </c>
      <c r="S45" s="136"/>
      <c r="T45" s="135">
        <f t="shared" si="14"/>
        <v>2309.8500000000058</v>
      </c>
      <c r="U45" s="137">
        <f t="shared" si="15"/>
        <v>1.4040025667563034E-2</v>
      </c>
      <c r="V45" s="135"/>
      <c r="W45" s="135">
        <f t="shared" si="16"/>
        <v>60528.7</v>
      </c>
      <c r="X45" s="135">
        <f t="shared" si="17"/>
        <v>106143.48</v>
      </c>
      <c r="Y45" s="135">
        <f t="shared" si="34"/>
        <v>166672.18</v>
      </c>
      <c r="Z45" s="136"/>
      <c r="AA45" s="135">
        <f t="shared" si="18"/>
        <v>-156.60000000000582</v>
      </c>
      <c r="AB45" s="137">
        <f t="shared" si="19"/>
        <v>-9.386869579697569E-4</v>
      </c>
      <c r="AC45" s="17"/>
    </row>
    <row r="46" spans="1:29" x14ac:dyDescent="0.3">
      <c r="A46" s="1">
        <f t="shared" si="0"/>
        <v>46</v>
      </c>
      <c r="B46" s="31"/>
      <c r="C46" s="106">
        <v>2350</v>
      </c>
      <c r="D46" s="106">
        <f t="shared" si="35"/>
        <v>1363000</v>
      </c>
      <c r="E46" s="135">
        <f t="shared" si="7"/>
        <v>76113.320000000007</v>
      </c>
      <c r="F46" s="135">
        <f t="shared" si="27"/>
        <v>184768.28</v>
      </c>
      <c r="G46" s="135">
        <f t="shared" si="29"/>
        <v>260881.6</v>
      </c>
      <c r="H46" s="136"/>
      <c r="I46" s="135">
        <f t="shared" si="9"/>
        <v>101342.45</v>
      </c>
      <c r="J46" s="135">
        <f t="shared" si="10"/>
        <v>184768.28</v>
      </c>
      <c r="K46" s="135">
        <f t="shared" si="30"/>
        <v>286110.73</v>
      </c>
      <c r="L46" s="136"/>
      <c r="M46" s="135">
        <f t="shared" si="31"/>
        <v>25229.129999999976</v>
      </c>
      <c r="N46" s="137">
        <f t="shared" si="32"/>
        <v>9.6707203574341677E-2</v>
      </c>
      <c r="O46" s="135"/>
      <c r="P46" s="135">
        <f t="shared" si="36"/>
        <v>105363.3</v>
      </c>
      <c r="Q46" s="135">
        <f t="shared" si="13"/>
        <v>184768.28</v>
      </c>
      <c r="R46" s="135">
        <f t="shared" si="33"/>
        <v>290131.58</v>
      </c>
      <c r="S46" s="136"/>
      <c r="T46" s="135">
        <f t="shared" si="14"/>
        <v>4020.8500000000349</v>
      </c>
      <c r="U46" s="137">
        <f t="shared" si="15"/>
        <v>1.4053475030454241E-2</v>
      </c>
      <c r="V46" s="135"/>
      <c r="W46" s="135">
        <f t="shared" si="16"/>
        <v>105090.7</v>
      </c>
      <c r="X46" s="135">
        <f t="shared" si="17"/>
        <v>184768.28</v>
      </c>
      <c r="Y46" s="135">
        <f t="shared" si="34"/>
        <v>289858.98</v>
      </c>
      <c r="Z46" s="136"/>
      <c r="AA46" s="135">
        <f t="shared" si="18"/>
        <v>-272.60000000003492</v>
      </c>
      <c r="AB46" s="137">
        <f t="shared" si="19"/>
        <v>-9.3957369273636087E-4</v>
      </c>
      <c r="AC46" s="17"/>
    </row>
    <row r="47" spans="1:29" x14ac:dyDescent="0.3">
      <c r="A47" s="1">
        <f t="shared" si="0"/>
        <v>47</v>
      </c>
      <c r="B47" s="31"/>
      <c r="C47" s="106">
        <v>4700</v>
      </c>
      <c r="D47" s="106">
        <f t="shared" si="35"/>
        <v>2726000</v>
      </c>
      <c r="E47" s="135">
        <f t="shared" si="7"/>
        <v>151856.64000000001</v>
      </c>
      <c r="F47" s="135">
        <f t="shared" si="27"/>
        <v>369536.56</v>
      </c>
      <c r="G47" s="135">
        <f t="shared" si="29"/>
        <v>521393.2</v>
      </c>
      <c r="H47" s="136"/>
      <c r="I47" s="135">
        <f t="shared" si="9"/>
        <v>202314.9</v>
      </c>
      <c r="J47" s="135">
        <f t="shared" si="10"/>
        <v>369536.56</v>
      </c>
      <c r="K47" s="135">
        <f t="shared" si="30"/>
        <v>571851.46</v>
      </c>
      <c r="L47" s="136"/>
      <c r="M47" s="135">
        <f t="shared" si="31"/>
        <v>50458.259999999951</v>
      </c>
      <c r="N47" s="137">
        <f t="shared" si="32"/>
        <v>9.6775830601549748E-2</v>
      </c>
      <c r="O47" s="135"/>
      <c r="P47" s="135">
        <f t="shared" si="36"/>
        <v>210356.6</v>
      </c>
      <c r="Q47" s="135">
        <f t="shared" si="13"/>
        <v>369536.56</v>
      </c>
      <c r="R47" s="135">
        <f t="shared" si="33"/>
        <v>579893.16</v>
      </c>
      <c r="S47" s="136"/>
      <c r="T47" s="135">
        <f t="shared" si="14"/>
        <v>8041.7000000000698</v>
      </c>
      <c r="U47" s="137">
        <f t="shared" si="15"/>
        <v>1.4062567926293431E-2</v>
      </c>
      <c r="V47" s="135"/>
      <c r="W47" s="135">
        <f t="shared" si="16"/>
        <v>209811.4</v>
      </c>
      <c r="X47" s="135">
        <f t="shared" si="17"/>
        <v>369536.56</v>
      </c>
      <c r="Y47" s="135">
        <f t="shared" si="34"/>
        <v>579347.96</v>
      </c>
      <c r="Z47" s="136"/>
      <c r="AA47" s="135">
        <f t="shared" si="18"/>
        <v>-545.20000000006985</v>
      </c>
      <c r="AB47" s="137">
        <f t="shared" si="19"/>
        <v>-9.4017318638500551E-4</v>
      </c>
      <c r="AC47" s="17"/>
    </row>
    <row r="48" spans="1:29" x14ac:dyDescent="0.3">
      <c r="A48" s="1">
        <f t="shared" si="0"/>
        <v>48</v>
      </c>
      <c r="B48" s="31" t="s">
        <v>52</v>
      </c>
      <c r="C48" s="106">
        <v>1356</v>
      </c>
      <c r="D48" s="106">
        <f t="shared" si="35"/>
        <v>786480</v>
      </c>
      <c r="E48" s="135">
        <f t="shared" si="7"/>
        <v>44075.51</v>
      </c>
      <c r="F48" s="135">
        <f t="shared" si="27"/>
        <v>106615.23</v>
      </c>
      <c r="G48" s="135">
        <f t="shared" si="29"/>
        <v>150690.74</v>
      </c>
      <c r="H48" s="136"/>
      <c r="I48" s="135">
        <f t="shared" si="9"/>
        <v>58633.25</v>
      </c>
      <c r="J48" s="135">
        <f t="shared" si="10"/>
        <v>106615.23</v>
      </c>
      <c r="K48" s="135">
        <f t="shared" si="30"/>
        <v>165248.47999999998</v>
      </c>
      <c r="L48" s="136"/>
      <c r="M48" s="135">
        <f t="shared" si="31"/>
        <v>14557.739999999991</v>
      </c>
      <c r="N48" s="137">
        <f t="shared" si="32"/>
        <v>9.6606732437573742E-2</v>
      </c>
      <c r="O48" s="135"/>
      <c r="P48" s="135">
        <f t="shared" si="36"/>
        <v>60953.37</v>
      </c>
      <c r="Q48" s="135">
        <f t="shared" si="13"/>
        <v>106615.23</v>
      </c>
      <c r="R48" s="135">
        <f t="shared" si="33"/>
        <v>167568.6</v>
      </c>
      <c r="S48" s="136"/>
      <c r="T48" s="135">
        <f t="shared" si="14"/>
        <v>2320.1200000000244</v>
      </c>
      <c r="U48" s="137">
        <f t="shared" si="15"/>
        <v>1.4040189658628174E-2</v>
      </c>
      <c r="V48" s="135"/>
      <c r="W48" s="135">
        <f t="shared" si="16"/>
        <v>60796.07</v>
      </c>
      <c r="X48" s="135">
        <f t="shared" si="17"/>
        <v>106615.23</v>
      </c>
      <c r="Y48" s="135">
        <f t="shared" si="34"/>
        <v>167411.29999999999</v>
      </c>
      <c r="Z48" s="136"/>
      <c r="AA48" s="135">
        <f t="shared" si="18"/>
        <v>-157.30000000001746</v>
      </c>
      <c r="AB48" s="137">
        <f t="shared" si="19"/>
        <v>-9.3872002272512548E-4</v>
      </c>
    </row>
    <row r="49" spans="1:26" x14ac:dyDescent="0.3">
      <c r="A49" s="1">
        <f t="shared" si="0"/>
        <v>49</v>
      </c>
      <c r="B49" s="31"/>
      <c r="C49" s="44"/>
      <c r="D49" s="44"/>
      <c r="E49" s="44"/>
      <c r="F49" s="44"/>
      <c r="G49" s="141"/>
      <c r="H49" s="44"/>
      <c r="Y49" s="138"/>
      <c r="Z49" s="136"/>
    </row>
    <row r="50" spans="1:26" x14ac:dyDescent="0.3">
      <c r="A50" s="1">
        <f t="shared" si="0"/>
        <v>50</v>
      </c>
      <c r="B50" s="31"/>
      <c r="C50" s="44"/>
      <c r="D50" s="44"/>
      <c r="E50" s="44"/>
      <c r="F50" s="44"/>
      <c r="G50" s="141"/>
      <c r="H50" s="44"/>
      <c r="Y50" s="138"/>
      <c r="Z50" s="136"/>
    </row>
    <row r="51" spans="1:26" x14ac:dyDescent="0.3">
      <c r="A51" s="1">
        <f t="shared" si="0"/>
        <v>51</v>
      </c>
      <c r="B51" s="31"/>
      <c r="C51" s="44" t="s">
        <v>53</v>
      </c>
      <c r="D51" s="44"/>
      <c r="E51" s="44"/>
      <c r="G51" s="45">
        <f>'EMA R1'!H28</f>
        <v>2024</v>
      </c>
      <c r="I51" s="45">
        <f>'EMA R1'!I28</f>
        <v>2025</v>
      </c>
      <c r="J51" s="45">
        <f>'EMA R1'!J28</f>
        <v>2026</v>
      </c>
      <c r="K51" s="45">
        <f>'EMA R1'!L28</f>
        <v>2027</v>
      </c>
      <c r="M51" s="45" t="str">
        <f>'EMA R1'!M28</f>
        <v>2025 v 2024</v>
      </c>
      <c r="N51" s="45" t="str">
        <f>'EMA R1'!O28</f>
        <v>2026 v 2025</v>
      </c>
      <c r="P51" s="45" t="str">
        <f>'EMA R1'!P28</f>
        <v>2027 v 2026</v>
      </c>
      <c r="Y51" s="138"/>
      <c r="Z51" s="136"/>
    </row>
    <row r="52" spans="1:26" x14ac:dyDescent="0.3">
      <c r="A52" s="1">
        <f t="shared" si="0"/>
        <v>52</v>
      </c>
      <c r="B52" s="31"/>
      <c r="C52" s="23" t="s">
        <v>53</v>
      </c>
      <c r="D52" s="23"/>
      <c r="E52" s="44"/>
      <c r="G52" s="47" t="str">
        <f>+'BOS G2 NEMA'!G55</f>
        <v>Rates</v>
      </c>
      <c r="I52" s="47" t="s">
        <v>57</v>
      </c>
      <c r="J52" s="47" t="s">
        <v>57</v>
      </c>
      <c r="K52" s="47" t="s">
        <v>57</v>
      </c>
      <c r="L52" s="37"/>
      <c r="M52" s="48" t="s">
        <v>51</v>
      </c>
      <c r="N52" s="48" t="s">
        <v>51</v>
      </c>
      <c r="O52" s="22"/>
      <c r="P52" s="48" t="s">
        <v>51</v>
      </c>
    </row>
    <row r="53" spans="1:26" x14ac:dyDescent="0.3">
      <c r="A53" s="1">
        <f t="shared" si="0"/>
        <v>53</v>
      </c>
      <c r="B53" s="31"/>
      <c r="C53" s="44" t="s">
        <v>58</v>
      </c>
      <c r="D53" s="44"/>
      <c r="E53" s="23"/>
      <c r="G53" s="88">
        <v>370</v>
      </c>
      <c r="H53" s="88"/>
      <c r="I53" s="88">
        <f>G53</f>
        <v>370</v>
      </c>
      <c r="J53" s="88">
        <f>G53</f>
        <v>370</v>
      </c>
      <c r="K53" s="88">
        <f>G53</f>
        <v>370</v>
      </c>
      <c r="L53" s="88"/>
      <c r="M53" s="50">
        <f>+I53-G53</f>
        <v>0</v>
      </c>
      <c r="N53" s="50">
        <f>+J53-I53</f>
        <v>0</v>
      </c>
      <c r="O53" s="50"/>
      <c r="P53" s="50">
        <f>+K53-J53</f>
        <v>0</v>
      </c>
      <c r="Q53" s="89" t="s">
        <v>59</v>
      </c>
    </row>
    <row r="54" spans="1:26" x14ac:dyDescent="0.3">
      <c r="A54" s="1">
        <f t="shared" si="0"/>
        <v>54</v>
      </c>
      <c r="B54" s="31"/>
      <c r="C54" s="44" t="s">
        <v>146</v>
      </c>
      <c r="D54" s="44"/>
      <c r="E54" s="23"/>
      <c r="G54" s="88">
        <v>14.64</v>
      </c>
      <c r="H54" s="88"/>
      <c r="I54" s="88">
        <f>G54</f>
        <v>14.64</v>
      </c>
      <c r="J54" s="88">
        <f t="shared" ref="J54:J81" si="37">G54</f>
        <v>14.64</v>
      </c>
      <c r="K54" s="88">
        <f t="shared" ref="K54:K81" si="38">G54</f>
        <v>14.64</v>
      </c>
      <c r="M54" s="50">
        <f t="shared" ref="M54:M81" si="39">+I54-G54</f>
        <v>0</v>
      </c>
      <c r="N54" s="50">
        <f t="shared" ref="N54:N81" si="40">+J54-I54</f>
        <v>0</v>
      </c>
      <c r="O54" s="50"/>
      <c r="P54" s="50">
        <f t="shared" ref="P54:P81" si="41">+K54-J54</f>
        <v>0</v>
      </c>
      <c r="Q54" s="89" t="s">
        <v>59</v>
      </c>
    </row>
    <row r="55" spans="1:26" x14ac:dyDescent="0.3">
      <c r="A55" s="1">
        <f t="shared" si="0"/>
        <v>55</v>
      </c>
      <c r="B55" s="31"/>
      <c r="C55" s="44" t="s">
        <v>60</v>
      </c>
      <c r="G55" s="91">
        <v>0</v>
      </c>
      <c r="H55" s="91"/>
      <c r="I55" s="91">
        <f>G55</f>
        <v>0</v>
      </c>
      <c r="J55" s="91">
        <f t="shared" si="37"/>
        <v>0</v>
      </c>
      <c r="K55" s="91">
        <f t="shared" si="38"/>
        <v>0</v>
      </c>
      <c r="M55" s="54">
        <f t="shared" si="39"/>
        <v>0</v>
      </c>
      <c r="N55" s="54">
        <f t="shared" si="40"/>
        <v>0</v>
      </c>
      <c r="O55" s="54"/>
      <c r="P55" s="54">
        <f t="shared" si="41"/>
        <v>0</v>
      </c>
      <c r="Q55" s="89" t="s">
        <v>59</v>
      </c>
    </row>
    <row r="56" spans="1:26" x14ac:dyDescent="0.3">
      <c r="A56" s="1">
        <f t="shared" si="0"/>
        <v>56</v>
      </c>
      <c r="B56" s="31"/>
      <c r="C56" s="44" t="str">
        <f>+'BOS G2 NEMA'!C62</f>
        <v>Exogenous Cost Adjustment</v>
      </c>
      <c r="G56" s="91">
        <v>3.3E-4</v>
      </c>
      <c r="H56" s="91"/>
      <c r="I56" s="91">
        <f t="shared" ref="I56:I81" si="42">G56</f>
        <v>3.3E-4</v>
      </c>
      <c r="J56" s="91">
        <f t="shared" si="37"/>
        <v>3.3E-4</v>
      </c>
      <c r="K56" s="91">
        <f t="shared" si="38"/>
        <v>3.3E-4</v>
      </c>
      <c r="M56" s="54">
        <f t="shared" si="39"/>
        <v>0</v>
      </c>
      <c r="N56" s="54">
        <f t="shared" si="40"/>
        <v>0</v>
      </c>
      <c r="O56" s="54"/>
      <c r="P56" s="54">
        <f t="shared" si="41"/>
        <v>0</v>
      </c>
      <c r="Q56" s="89" t="str">
        <f>+'BOS G2 NEMA'!Q62</f>
        <v>ECA</v>
      </c>
    </row>
    <row r="57" spans="1:26" x14ac:dyDescent="0.3">
      <c r="A57" s="1">
        <f t="shared" si="0"/>
        <v>57</v>
      </c>
      <c r="B57" s="31"/>
      <c r="C57" s="44" t="str">
        <f>+'BOS G2 NEMA'!C63</f>
        <v>Revenue Decoupling</v>
      </c>
      <c r="G57" s="91">
        <v>2.0000000000000002E-5</v>
      </c>
      <c r="H57" s="91"/>
      <c r="I57" s="91">
        <f t="shared" si="42"/>
        <v>2.0000000000000002E-5</v>
      </c>
      <c r="J57" s="91">
        <f t="shared" si="37"/>
        <v>2.0000000000000002E-5</v>
      </c>
      <c r="K57" s="91">
        <f t="shared" si="38"/>
        <v>2.0000000000000002E-5</v>
      </c>
      <c r="L57" s="37"/>
      <c r="M57" s="54">
        <f t="shared" si="39"/>
        <v>0</v>
      </c>
      <c r="N57" s="54">
        <f t="shared" si="40"/>
        <v>0</v>
      </c>
      <c r="O57" s="54"/>
      <c r="P57" s="54">
        <f t="shared" si="41"/>
        <v>0</v>
      </c>
      <c r="Q57" s="89" t="str">
        <f>+'BOS G2 NEMA'!Q63</f>
        <v>RDAF</v>
      </c>
    </row>
    <row r="58" spans="1:26" x14ac:dyDescent="0.3">
      <c r="A58" s="1">
        <f t="shared" si="0"/>
        <v>58</v>
      </c>
      <c r="B58" s="31"/>
      <c r="C58" s="44" t="str">
        <f>+'BOS G2 NEMA'!C64</f>
        <v>Distributed Solar Charge</v>
      </c>
      <c r="G58" s="91">
        <v>2.66E-3</v>
      </c>
      <c r="H58" s="91"/>
      <c r="I58" s="91">
        <f t="shared" si="42"/>
        <v>2.66E-3</v>
      </c>
      <c r="J58" s="91">
        <f t="shared" si="37"/>
        <v>2.66E-3</v>
      </c>
      <c r="K58" s="91">
        <f t="shared" si="38"/>
        <v>2.66E-3</v>
      </c>
      <c r="M58" s="54">
        <f t="shared" si="39"/>
        <v>0</v>
      </c>
      <c r="N58" s="54">
        <f t="shared" si="40"/>
        <v>0</v>
      </c>
      <c r="O58" s="54"/>
      <c r="P58" s="54">
        <f t="shared" si="41"/>
        <v>0</v>
      </c>
      <c r="Q58" s="89" t="str">
        <f>+'BOS G2 NEMA'!Q64</f>
        <v>SMART</v>
      </c>
    </row>
    <row r="59" spans="1:26" x14ac:dyDescent="0.3">
      <c r="A59" s="1">
        <f t="shared" si="0"/>
        <v>59</v>
      </c>
      <c r="B59" s="31"/>
      <c r="C59" s="44" t="str">
        <f>+'BOS G2 NEMA'!C65</f>
        <v>Residential Assistance Adjustment Factor</v>
      </c>
      <c r="G59" s="53">
        <v>2.7200000000000002E-3</v>
      </c>
      <c r="H59" s="91"/>
      <c r="I59" s="91">
        <f t="shared" si="42"/>
        <v>2.7200000000000002E-3</v>
      </c>
      <c r="J59" s="53">
        <f t="shared" si="37"/>
        <v>2.7200000000000002E-3</v>
      </c>
      <c r="K59" s="53">
        <f t="shared" si="38"/>
        <v>2.7200000000000002E-3</v>
      </c>
      <c r="M59" s="54">
        <f t="shared" si="39"/>
        <v>0</v>
      </c>
      <c r="N59" s="54">
        <f t="shared" si="40"/>
        <v>0</v>
      </c>
      <c r="O59" s="54"/>
      <c r="P59" s="54">
        <f t="shared" si="41"/>
        <v>0</v>
      </c>
      <c r="Q59" s="89" t="str">
        <f>+'BOS G2 NEMA'!Q65</f>
        <v>RAAF</v>
      </c>
    </row>
    <row r="60" spans="1:26" x14ac:dyDescent="0.3">
      <c r="A60" s="1">
        <f t="shared" si="0"/>
        <v>60</v>
      </c>
      <c r="B60" s="31"/>
      <c r="C60" s="44" t="str">
        <f>+'BOS G2 NEMA'!C66</f>
        <v>Pension Adjustment Factor</v>
      </c>
      <c r="G60" s="53">
        <v>2.7E-4</v>
      </c>
      <c r="H60" s="91"/>
      <c r="I60" s="91">
        <f t="shared" si="42"/>
        <v>2.7E-4</v>
      </c>
      <c r="J60" s="53">
        <f t="shared" si="37"/>
        <v>2.7E-4</v>
      </c>
      <c r="K60" s="53">
        <f t="shared" si="38"/>
        <v>2.7E-4</v>
      </c>
      <c r="M60" s="54">
        <f t="shared" si="39"/>
        <v>0</v>
      </c>
      <c r="N60" s="54">
        <f t="shared" si="40"/>
        <v>0</v>
      </c>
      <c r="O60" s="54"/>
      <c r="P60" s="54">
        <f t="shared" si="41"/>
        <v>0</v>
      </c>
      <c r="Q60" s="89" t="str">
        <f>+'BOS G2 NEMA'!Q66</f>
        <v>PAF</v>
      </c>
    </row>
    <row r="61" spans="1:26" x14ac:dyDescent="0.3">
      <c r="A61" s="1">
        <f t="shared" si="0"/>
        <v>61</v>
      </c>
      <c r="B61" s="31"/>
      <c r="C61" s="44" t="str">
        <f>+'BOS G2 NEMA'!C67</f>
        <v>Net Metering Recovery Surcharge</v>
      </c>
      <c r="G61" s="91">
        <v>5.4000000000000003E-3</v>
      </c>
      <c r="H61" s="91"/>
      <c r="I61" s="91">
        <f t="shared" si="42"/>
        <v>5.4000000000000003E-3</v>
      </c>
      <c r="J61" s="91">
        <f t="shared" si="37"/>
        <v>5.4000000000000003E-3</v>
      </c>
      <c r="K61" s="91">
        <f t="shared" si="38"/>
        <v>5.4000000000000003E-3</v>
      </c>
      <c r="M61" s="54">
        <f t="shared" si="39"/>
        <v>0</v>
      </c>
      <c r="N61" s="54">
        <f t="shared" si="40"/>
        <v>0</v>
      </c>
      <c r="O61" s="54"/>
      <c r="P61" s="54">
        <f t="shared" si="41"/>
        <v>0</v>
      </c>
      <c r="Q61" s="89" t="str">
        <f>+'BOS G2 NEMA'!Q67</f>
        <v>NMRS</v>
      </c>
    </row>
    <row r="62" spans="1:26" x14ac:dyDescent="0.3">
      <c r="A62" s="1">
        <f t="shared" si="0"/>
        <v>62</v>
      </c>
      <c r="B62" s="31"/>
      <c r="C62" s="44" t="str">
        <f>+'BOS G2 NEMA'!C68</f>
        <v>Long Term Renewable Contract Adjustment</v>
      </c>
      <c r="G62" s="53">
        <v>-1.9300000000000001E-3</v>
      </c>
      <c r="H62" s="91"/>
      <c r="I62" s="91">
        <f t="shared" si="42"/>
        <v>-1.9300000000000001E-3</v>
      </c>
      <c r="J62" s="53">
        <f t="shared" si="37"/>
        <v>-1.9300000000000001E-3</v>
      </c>
      <c r="K62" s="53">
        <f t="shared" si="38"/>
        <v>-1.9300000000000001E-3</v>
      </c>
      <c r="M62" s="54">
        <f t="shared" si="39"/>
        <v>0</v>
      </c>
      <c r="N62" s="54">
        <f t="shared" si="40"/>
        <v>0</v>
      </c>
      <c r="O62" s="54"/>
      <c r="P62" s="54">
        <f t="shared" si="41"/>
        <v>0</v>
      </c>
      <c r="Q62" s="89" t="str">
        <f>+'BOS G2 NEMA'!Q68</f>
        <v>LTRCA</v>
      </c>
    </row>
    <row r="63" spans="1:26" x14ac:dyDescent="0.3">
      <c r="A63" s="1">
        <f t="shared" si="0"/>
        <v>63</v>
      </c>
      <c r="B63" s="31"/>
      <c r="C63" s="44" t="str">
        <f>+'BOS G2 NEMA'!C69</f>
        <v>AG Consulting Expense</v>
      </c>
      <c r="G63" s="53">
        <v>1.0000000000000001E-5</v>
      </c>
      <c r="H63" s="91"/>
      <c r="I63" s="91">
        <f t="shared" si="42"/>
        <v>1.0000000000000001E-5</v>
      </c>
      <c r="J63" s="53">
        <f t="shared" si="37"/>
        <v>1.0000000000000001E-5</v>
      </c>
      <c r="K63" s="53">
        <f t="shared" si="38"/>
        <v>1.0000000000000001E-5</v>
      </c>
      <c r="M63" s="54">
        <f t="shared" si="39"/>
        <v>0</v>
      </c>
      <c r="N63" s="54">
        <f t="shared" si="40"/>
        <v>0</v>
      </c>
      <c r="O63" s="54"/>
      <c r="P63" s="54">
        <f t="shared" si="41"/>
        <v>0</v>
      </c>
      <c r="Q63" s="89" t="str">
        <f>+'BOS G2 NEMA'!Q69</f>
        <v>AGCE</v>
      </c>
    </row>
    <row r="64" spans="1:26" x14ac:dyDescent="0.3">
      <c r="A64" s="1">
        <f t="shared" si="0"/>
        <v>64</v>
      </c>
      <c r="B64" s="31"/>
      <c r="C64" s="44" t="str">
        <f>+'BOS G2 NEMA'!C70</f>
        <v>Storm Cost Recovery Adjustment Factor</v>
      </c>
      <c r="G64" s="53">
        <v>2.2100000000000002E-3</v>
      </c>
      <c r="H64" s="91"/>
      <c r="I64" s="91">
        <f t="shared" si="42"/>
        <v>2.2100000000000002E-3</v>
      </c>
      <c r="J64" s="53">
        <f t="shared" si="37"/>
        <v>2.2100000000000002E-3</v>
      </c>
      <c r="K64" s="53">
        <f t="shared" si="38"/>
        <v>2.2100000000000002E-3</v>
      </c>
      <c r="M64" s="54">
        <f t="shared" si="39"/>
        <v>0</v>
      </c>
      <c r="N64" s="54">
        <f t="shared" si="40"/>
        <v>0</v>
      </c>
      <c r="O64" s="54"/>
      <c r="P64" s="54">
        <f t="shared" si="41"/>
        <v>0</v>
      </c>
      <c r="Q64" s="89" t="str">
        <f>+'BOS G2 NEMA'!Q70</f>
        <v>SCRA</v>
      </c>
    </row>
    <row r="65" spans="1:17" x14ac:dyDescent="0.3">
      <c r="A65" s="1">
        <f t="shared" si="0"/>
        <v>65</v>
      </c>
      <c r="B65" s="31"/>
      <c r="C65" s="44" t="str">
        <f>+'BOS G2 NEMA'!C71</f>
        <v>Storm Reserve Adjustment</v>
      </c>
      <c r="G65" s="53">
        <v>0</v>
      </c>
      <c r="H65" s="91"/>
      <c r="I65" s="91">
        <f t="shared" si="42"/>
        <v>0</v>
      </c>
      <c r="J65" s="53">
        <f t="shared" si="37"/>
        <v>0</v>
      </c>
      <c r="K65" s="53">
        <f t="shared" si="38"/>
        <v>0</v>
      </c>
      <c r="M65" s="54">
        <f t="shared" si="39"/>
        <v>0</v>
      </c>
      <c r="N65" s="54">
        <f t="shared" si="40"/>
        <v>0</v>
      </c>
      <c r="O65" s="54"/>
      <c r="P65" s="54">
        <f t="shared" si="41"/>
        <v>0</v>
      </c>
      <c r="Q65" s="89" t="str">
        <f>+'BOS G2 NEMA'!Q71</f>
        <v>SRA</v>
      </c>
    </row>
    <row r="66" spans="1:17" x14ac:dyDescent="0.3">
      <c r="A66" s="1">
        <f t="shared" si="0"/>
        <v>66</v>
      </c>
      <c r="B66" s="31"/>
      <c r="C66" s="44" t="str">
        <f>+'BOS G2 NEMA'!C72</f>
        <v>Basic Service Cost True Up Factor</v>
      </c>
      <c r="G66" s="53">
        <v>-1.4999999999999999E-4</v>
      </c>
      <c r="H66" s="91"/>
      <c r="I66" s="91">
        <f t="shared" si="42"/>
        <v>-1.4999999999999999E-4</v>
      </c>
      <c r="J66" s="53">
        <f t="shared" si="37"/>
        <v>-1.4999999999999999E-4</v>
      </c>
      <c r="K66" s="53">
        <f t="shared" si="38"/>
        <v>-1.4999999999999999E-4</v>
      </c>
      <c r="M66" s="54">
        <f t="shared" si="39"/>
        <v>0</v>
      </c>
      <c r="N66" s="54">
        <f t="shared" si="40"/>
        <v>0</v>
      </c>
      <c r="O66" s="54"/>
      <c r="P66" s="54">
        <f t="shared" si="41"/>
        <v>0</v>
      </c>
      <c r="Q66" s="89" t="str">
        <f>+'BOS G2 NEMA'!Q72</f>
        <v>BSTF</v>
      </c>
    </row>
    <row r="67" spans="1:17" x14ac:dyDescent="0.3">
      <c r="A67" s="1">
        <f t="shared" ref="A67:A81" si="43">A66+1</f>
        <v>67</v>
      </c>
      <c r="B67" s="31"/>
      <c r="C67" s="44" t="str">
        <f>+'BOS G2 NEMA'!C73</f>
        <v>Solar Program Cost Adjustment Factor</v>
      </c>
      <c r="D67" s="44"/>
      <c r="E67" s="23"/>
      <c r="G67" s="53">
        <v>0</v>
      </c>
      <c r="H67" s="91"/>
      <c r="I67" s="91">
        <f t="shared" si="42"/>
        <v>0</v>
      </c>
      <c r="J67" s="53">
        <f t="shared" si="37"/>
        <v>0</v>
      </c>
      <c r="K67" s="53">
        <f t="shared" si="38"/>
        <v>0</v>
      </c>
      <c r="M67" s="54">
        <f t="shared" si="39"/>
        <v>0</v>
      </c>
      <c r="N67" s="54">
        <f t="shared" si="40"/>
        <v>0</v>
      </c>
      <c r="O67" s="54"/>
      <c r="P67" s="54">
        <f t="shared" si="41"/>
        <v>0</v>
      </c>
      <c r="Q67" s="89" t="str">
        <f>+'BOS G2 NEMA'!Q73</f>
        <v>SPCA</v>
      </c>
    </row>
    <row r="68" spans="1:17" x14ac:dyDescent="0.3">
      <c r="A68" s="1">
        <f t="shared" si="43"/>
        <v>68</v>
      </c>
      <c r="B68" s="31"/>
      <c r="C68" s="44" t="str">
        <f>+'BOS G2 NEMA'!C74</f>
        <v>Solar Expansion Cost Recovery Factor</v>
      </c>
      <c r="D68" s="44"/>
      <c r="E68" s="23"/>
      <c r="G68" s="53">
        <v>-1.7000000000000001E-4</v>
      </c>
      <c r="H68" s="91"/>
      <c r="I68" s="91">
        <f t="shared" si="42"/>
        <v>-1.7000000000000001E-4</v>
      </c>
      <c r="J68" s="53">
        <f t="shared" si="37"/>
        <v>-1.7000000000000001E-4</v>
      </c>
      <c r="K68" s="53">
        <f t="shared" si="38"/>
        <v>-1.7000000000000001E-4</v>
      </c>
      <c r="M68" s="54">
        <f t="shared" si="39"/>
        <v>0</v>
      </c>
      <c r="N68" s="54">
        <f t="shared" si="40"/>
        <v>0</v>
      </c>
      <c r="O68" s="54"/>
      <c r="P68" s="54">
        <f t="shared" si="41"/>
        <v>0</v>
      </c>
      <c r="Q68" s="89" t="str">
        <f>+'BOS G2 NEMA'!Q74</f>
        <v>SECRF</v>
      </c>
    </row>
    <row r="69" spans="1:17" x14ac:dyDescent="0.3">
      <c r="A69" s="1">
        <f t="shared" si="43"/>
        <v>69</v>
      </c>
      <c r="B69" s="31"/>
      <c r="C69" s="44" t="str">
        <f>+'BOS G2 NEMA'!C75</f>
        <v>Vegetation Management</v>
      </c>
      <c r="D69" s="44"/>
      <c r="E69" s="23"/>
      <c r="G69" s="53">
        <v>5.9999999999999995E-4</v>
      </c>
      <c r="H69" s="91"/>
      <c r="I69" s="91">
        <f t="shared" si="42"/>
        <v>5.9999999999999995E-4</v>
      </c>
      <c r="J69" s="53">
        <f t="shared" si="37"/>
        <v>5.9999999999999995E-4</v>
      </c>
      <c r="K69" s="53">
        <f t="shared" si="38"/>
        <v>5.9999999999999995E-4</v>
      </c>
      <c r="L69" s="37"/>
      <c r="M69" s="54">
        <f t="shared" si="39"/>
        <v>0</v>
      </c>
      <c r="N69" s="54">
        <f t="shared" si="40"/>
        <v>0</v>
      </c>
      <c r="O69" s="54"/>
      <c r="P69" s="54">
        <f t="shared" si="41"/>
        <v>0</v>
      </c>
      <c r="Q69" s="89" t="str">
        <f>+'BOS G2 NEMA'!Q75</f>
        <v>RTWF</v>
      </c>
    </row>
    <row r="70" spans="1:17" x14ac:dyDescent="0.3">
      <c r="A70" s="1">
        <f t="shared" si="43"/>
        <v>70</v>
      </c>
      <c r="B70" s="31"/>
      <c r="C70" s="44" t="str">
        <f>+'BOS G2 NEMA'!C76</f>
        <v>Tax Act Credit Factor</v>
      </c>
      <c r="D70" s="37"/>
      <c r="E70" s="37"/>
      <c r="F70" s="53"/>
      <c r="G70" s="53">
        <v>-5.9999999999999995E-4</v>
      </c>
      <c r="H70" s="91"/>
      <c r="I70" s="91">
        <f t="shared" si="42"/>
        <v>-5.9999999999999995E-4</v>
      </c>
      <c r="J70" s="53">
        <f t="shared" si="37"/>
        <v>-5.9999999999999995E-4</v>
      </c>
      <c r="K70" s="53">
        <f t="shared" si="38"/>
        <v>-5.9999999999999995E-4</v>
      </c>
      <c r="L70" s="37"/>
      <c r="M70" s="54">
        <f t="shared" si="39"/>
        <v>0</v>
      </c>
      <c r="N70" s="54">
        <f t="shared" si="40"/>
        <v>0</v>
      </c>
      <c r="O70" s="54"/>
      <c r="P70" s="54">
        <f t="shared" si="41"/>
        <v>0</v>
      </c>
      <c r="Q70" s="89" t="str">
        <f>+'BOS G2 NEMA'!Q76</f>
        <v>TACF</v>
      </c>
    </row>
    <row r="71" spans="1:17" x14ac:dyDescent="0.3">
      <c r="A71" s="1">
        <f t="shared" si="43"/>
        <v>71</v>
      </c>
      <c r="B71" s="31"/>
      <c r="C71" s="44" t="str">
        <f>+'BOS G2 NEMA'!C77</f>
        <v>Grid Modernization</v>
      </c>
      <c r="D71" s="44"/>
      <c r="E71" s="23"/>
      <c r="G71" s="53">
        <v>7.6999999999999996E-4</v>
      </c>
      <c r="H71" s="91"/>
      <c r="I71" s="91">
        <f t="shared" si="42"/>
        <v>7.6999999999999996E-4</v>
      </c>
      <c r="J71" s="53">
        <f t="shared" si="37"/>
        <v>7.6999999999999996E-4</v>
      </c>
      <c r="K71" s="53">
        <f t="shared" si="38"/>
        <v>7.6999999999999996E-4</v>
      </c>
      <c r="M71" s="54">
        <f t="shared" si="39"/>
        <v>0</v>
      </c>
      <c r="N71" s="54">
        <f t="shared" si="40"/>
        <v>0</v>
      </c>
      <c r="O71" s="54"/>
      <c r="P71" s="54">
        <f t="shared" si="41"/>
        <v>0</v>
      </c>
      <c r="Q71" s="89" t="str">
        <f>+'BOS G2 NEMA'!Q77</f>
        <v>GMOD</v>
      </c>
    </row>
    <row r="72" spans="1:17" x14ac:dyDescent="0.3">
      <c r="A72" s="1">
        <f t="shared" si="43"/>
        <v>72</v>
      </c>
      <c r="B72" s="31"/>
      <c r="C72" s="44" t="str">
        <f>+'BOS G2 NEMA'!C78</f>
        <v>Advanced Metering Infrastructure</v>
      </c>
      <c r="D72" s="44"/>
      <c r="E72" s="23"/>
      <c r="G72" s="53">
        <v>1.0200000000000001E-3</v>
      </c>
      <c r="H72" s="91"/>
      <c r="I72" s="91">
        <f t="shared" si="42"/>
        <v>1.0200000000000001E-3</v>
      </c>
      <c r="J72" s="53">
        <f t="shared" si="37"/>
        <v>1.0200000000000001E-3</v>
      </c>
      <c r="K72" s="53">
        <f t="shared" si="38"/>
        <v>1.0200000000000001E-3</v>
      </c>
      <c r="M72" s="54">
        <f t="shared" si="39"/>
        <v>0</v>
      </c>
      <c r="N72" s="54">
        <f t="shared" si="40"/>
        <v>0</v>
      </c>
      <c r="O72" s="54"/>
      <c r="P72" s="54">
        <f t="shared" si="41"/>
        <v>0</v>
      </c>
      <c r="Q72" s="89" t="str">
        <f>+'BOS G2 NEMA'!Q78</f>
        <v>AMIF</v>
      </c>
    </row>
    <row r="73" spans="1:17" x14ac:dyDescent="0.3">
      <c r="A73" s="1">
        <f t="shared" si="43"/>
        <v>73</v>
      </c>
      <c r="B73" s="31"/>
      <c r="C73" s="44" t="str">
        <f>+'BOS G2 NEMA'!C79</f>
        <v>Electronic Payment Recovery</v>
      </c>
      <c r="D73" s="44"/>
      <c r="E73" s="23"/>
      <c r="G73" s="53">
        <v>0</v>
      </c>
      <c r="H73" s="91"/>
      <c r="I73" s="91">
        <f t="shared" si="42"/>
        <v>0</v>
      </c>
      <c r="J73" s="53">
        <f t="shared" si="37"/>
        <v>0</v>
      </c>
      <c r="K73" s="53">
        <f t="shared" si="38"/>
        <v>0</v>
      </c>
      <c r="M73" s="54">
        <f t="shared" si="39"/>
        <v>0</v>
      </c>
      <c r="N73" s="54">
        <f t="shared" si="40"/>
        <v>0</v>
      </c>
      <c r="O73" s="54"/>
      <c r="P73" s="54">
        <f t="shared" si="41"/>
        <v>0</v>
      </c>
      <c r="Q73" s="89" t="str">
        <f>+'BOS G2 NEMA'!Q79</f>
        <v>EPR</v>
      </c>
    </row>
    <row r="74" spans="1:17" x14ac:dyDescent="0.3">
      <c r="A74" s="1">
        <f t="shared" si="43"/>
        <v>74</v>
      </c>
      <c r="B74" s="31"/>
      <c r="C74" s="44" t="str">
        <f>+'BOS G2 NEMA'!C80</f>
        <v>Provisional System Planning Factor</v>
      </c>
      <c r="D74" s="44"/>
      <c r="E74" s="23"/>
      <c r="G74" s="91">
        <v>0</v>
      </c>
      <c r="H74" s="91"/>
      <c r="I74" s="91">
        <f t="shared" si="42"/>
        <v>0</v>
      </c>
      <c r="J74" s="91">
        <f t="shared" si="37"/>
        <v>0</v>
      </c>
      <c r="K74" s="91">
        <f t="shared" si="38"/>
        <v>0</v>
      </c>
      <c r="M74" s="54">
        <f t="shared" si="39"/>
        <v>0</v>
      </c>
      <c r="N74" s="54">
        <f t="shared" si="40"/>
        <v>0</v>
      </c>
      <c r="O74" s="54"/>
      <c r="P74" s="54">
        <f t="shared" si="41"/>
        <v>0</v>
      </c>
      <c r="Q74" s="89" t="str">
        <f>+'BOS G2 NEMA'!Q80</f>
        <v>PSPF</v>
      </c>
    </row>
    <row r="75" spans="1:17" x14ac:dyDescent="0.3">
      <c r="A75" s="1">
        <f t="shared" si="43"/>
        <v>75</v>
      </c>
      <c r="B75" s="31"/>
      <c r="C75" s="44" t="str">
        <f>+'BOS G2 NEMA'!C81</f>
        <v>Electric Vehicle Factor</v>
      </c>
      <c r="D75" s="44"/>
      <c r="E75" s="23"/>
      <c r="G75" s="91">
        <v>4.8000000000000001E-4</v>
      </c>
      <c r="H75" s="91"/>
      <c r="I75" s="91">
        <f t="shared" si="42"/>
        <v>4.8000000000000001E-4</v>
      </c>
      <c r="J75" s="91">
        <f t="shared" si="37"/>
        <v>4.8000000000000001E-4</v>
      </c>
      <c r="K75" s="91">
        <f t="shared" si="38"/>
        <v>4.8000000000000001E-4</v>
      </c>
      <c r="M75" s="54">
        <f t="shared" si="39"/>
        <v>0</v>
      </c>
      <c r="N75" s="54">
        <f t="shared" si="40"/>
        <v>0</v>
      </c>
      <c r="O75" s="54"/>
      <c r="P75" s="54">
        <f t="shared" si="41"/>
        <v>0</v>
      </c>
      <c r="Q75" s="89" t="str">
        <f>+'BOS G2 NEMA'!Q81</f>
        <v>EVF</v>
      </c>
    </row>
    <row r="76" spans="1:17" x14ac:dyDescent="0.3">
      <c r="A76" s="1">
        <f t="shared" si="43"/>
        <v>76</v>
      </c>
      <c r="B76" s="31"/>
      <c r="C76" s="44" t="str">
        <f>+'BOS G2 NEMA'!C82</f>
        <v>Transition</v>
      </c>
      <c r="D76" s="44"/>
      <c r="E76" s="23"/>
      <c r="G76" s="91">
        <v>-3.6999999999999999E-4</v>
      </c>
      <c r="H76" s="91"/>
      <c r="I76" s="91">
        <f t="shared" si="42"/>
        <v>-3.6999999999999999E-4</v>
      </c>
      <c r="J76" s="91">
        <f t="shared" si="37"/>
        <v>-3.6999999999999999E-4</v>
      </c>
      <c r="K76" s="91">
        <f t="shared" si="38"/>
        <v>-3.6999999999999999E-4</v>
      </c>
      <c r="M76" s="54">
        <f t="shared" si="39"/>
        <v>0</v>
      </c>
      <c r="N76" s="54">
        <f t="shared" si="40"/>
        <v>0</v>
      </c>
      <c r="O76" s="54"/>
      <c r="P76" s="54">
        <f t="shared" si="41"/>
        <v>0</v>
      </c>
      <c r="Q76" s="89" t="str">
        <f>+'BOS G2 NEMA'!Q82</f>
        <v>TRNSN</v>
      </c>
    </row>
    <row r="77" spans="1:17" x14ac:dyDescent="0.3">
      <c r="A77" s="1">
        <f t="shared" si="43"/>
        <v>77</v>
      </c>
      <c r="B77" s="31"/>
      <c r="C77" s="44" t="s">
        <v>147</v>
      </c>
      <c r="D77" s="44"/>
      <c r="E77" s="23"/>
      <c r="G77" s="88">
        <v>12.87</v>
      </c>
      <c r="H77" s="88"/>
      <c r="I77" s="88">
        <f>G77</f>
        <v>12.87</v>
      </c>
      <c r="J77" s="88">
        <f t="shared" si="37"/>
        <v>12.87</v>
      </c>
      <c r="K77" s="88">
        <f t="shared" si="38"/>
        <v>12.87</v>
      </c>
      <c r="M77" s="50">
        <f t="shared" si="39"/>
        <v>0</v>
      </c>
      <c r="N77" s="50">
        <f t="shared" si="40"/>
        <v>0</v>
      </c>
      <c r="O77" s="88"/>
      <c r="P77" s="50">
        <f t="shared" si="41"/>
        <v>0</v>
      </c>
      <c r="Q77" s="51" t="s">
        <v>104</v>
      </c>
    </row>
    <row r="78" spans="1:17" x14ac:dyDescent="0.3">
      <c r="A78" s="1">
        <f t="shared" si="43"/>
        <v>78</v>
      </c>
      <c r="B78" s="31"/>
      <c r="C78" s="44" t="s">
        <v>105</v>
      </c>
      <c r="D78" s="44"/>
      <c r="E78" s="23"/>
      <c r="G78" s="91">
        <v>-8.1300000000000001E-3</v>
      </c>
      <c r="H78" s="91"/>
      <c r="I78" s="91">
        <v>1.038E-2</v>
      </c>
      <c r="J78" s="91">
        <v>1.333E-2</v>
      </c>
      <c r="K78" s="91">
        <v>1.3129999999999999E-2</v>
      </c>
      <c r="M78" s="54">
        <f t="shared" si="39"/>
        <v>1.8509999999999999E-2</v>
      </c>
      <c r="N78" s="54">
        <f t="shared" si="40"/>
        <v>2.9499999999999995E-3</v>
      </c>
      <c r="O78" s="54"/>
      <c r="P78" s="54">
        <f t="shared" si="41"/>
        <v>-2.0000000000000052E-4</v>
      </c>
      <c r="Q78" s="89" t="s">
        <v>106</v>
      </c>
    </row>
    <row r="79" spans="1:17" x14ac:dyDescent="0.3">
      <c r="A79" s="1">
        <f t="shared" si="43"/>
        <v>79</v>
      </c>
      <c r="B79" s="31"/>
      <c r="C79" s="44" t="s">
        <v>107</v>
      </c>
      <c r="D79" s="44"/>
      <c r="E79" s="23"/>
      <c r="G79" s="91">
        <v>2.5000000000000001E-3</v>
      </c>
      <c r="H79" s="91"/>
      <c r="I79" s="91">
        <f t="shared" si="42"/>
        <v>2.5000000000000001E-3</v>
      </c>
      <c r="J79" s="91">
        <f t="shared" si="37"/>
        <v>2.5000000000000001E-3</v>
      </c>
      <c r="K79" s="91">
        <f t="shared" si="38"/>
        <v>2.5000000000000001E-3</v>
      </c>
      <c r="M79" s="54">
        <f t="shared" si="39"/>
        <v>0</v>
      </c>
      <c r="N79" s="54">
        <f t="shared" si="40"/>
        <v>0</v>
      </c>
      <c r="O79" s="54"/>
      <c r="P79" s="54">
        <f t="shared" si="41"/>
        <v>0</v>
      </c>
      <c r="Q79" s="89" t="s">
        <v>108</v>
      </c>
    </row>
    <row r="80" spans="1:17" x14ac:dyDescent="0.3">
      <c r="A80" s="1">
        <f t="shared" si="43"/>
        <v>80</v>
      </c>
      <c r="B80" s="31"/>
      <c r="C80" s="44" t="s">
        <v>109</v>
      </c>
      <c r="D80" s="44"/>
      <c r="E80" s="23"/>
      <c r="G80" s="91">
        <v>5.0000000000000001E-4</v>
      </c>
      <c r="H80" s="91"/>
      <c r="I80" s="91">
        <f t="shared" si="42"/>
        <v>5.0000000000000001E-4</v>
      </c>
      <c r="J80" s="91">
        <f t="shared" si="37"/>
        <v>5.0000000000000001E-4</v>
      </c>
      <c r="K80" s="91">
        <f t="shared" si="38"/>
        <v>5.0000000000000001E-4</v>
      </c>
      <c r="M80" s="54">
        <f t="shared" si="39"/>
        <v>0</v>
      </c>
      <c r="N80" s="54">
        <f t="shared" si="40"/>
        <v>0</v>
      </c>
      <c r="O80" s="54"/>
      <c r="P80" s="54">
        <f t="shared" si="41"/>
        <v>0</v>
      </c>
      <c r="Q80" s="89" t="s">
        <v>110</v>
      </c>
    </row>
    <row r="81" spans="1:24" x14ac:dyDescent="0.3">
      <c r="A81" s="1">
        <f t="shared" si="43"/>
        <v>81</v>
      </c>
      <c r="B81" s="31"/>
      <c r="C81" s="44" t="s">
        <v>111</v>
      </c>
      <c r="D81" s="44"/>
      <c r="E81" s="23"/>
      <c r="G81" s="92">
        <v>0.13556000000000001</v>
      </c>
      <c r="H81" s="92"/>
      <c r="I81" s="91">
        <f t="shared" si="42"/>
        <v>0.13556000000000001</v>
      </c>
      <c r="J81" s="92">
        <f t="shared" si="37"/>
        <v>0.13556000000000001</v>
      </c>
      <c r="K81" s="91">
        <f t="shared" si="38"/>
        <v>0.13556000000000001</v>
      </c>
      <c r="M81" s="54">
        <f t="shared" si="39"/>
        <v>0</v>
      </c>
      <c r="N81" s="54">
        <f t="shared" si="40"/>
        <v>0</v>
      </c>
      <c r="O81" s="54"/>
      <c r="P81" s="54">
        <f t="shared" si="41"/>
        <v>0</v>
      </c>
      <c r="Q81" s="89" t="s">
        <v>112</v>
      </c>
    </row>
    <row r="82" spans="1:24" x14ac:dyDescent="0.3">
      <c r="A82" s="1"/>
      <c r="B82" s="31"/>
      <c r="C82" s="44"/>
      <c r="D82" s="44"/>
      <c r="E82" s="23"/>
      <c r="G82" s="92"/>
      <c r="H82" s="92"/>
      <c r="I82" s="92"/>
      <c r="J82" s="94"/>
      <c r="X82" s="89"/>
    </row>
    <row r="83" spans="1:24" x14ac:dyDescent="0.3">
      <c r="A83" s="1"/>
      <c r="B83" s="31"/>
      <c r="C83" s="44"/>
      <c r="G83" s="197"/>
      <c r="H83" s="142"/>
      <c r="I83" s="88"/>
      <c r="J83" s="50"/>
    </row>
    <row r="84" spans="1:24" x14ac:dyDescent="0.3">
      <c r="A84" s="1"/>
      <c r="C84" s="44" t="s">
        <v>58</v>
      </c>
      <c r="D84" s="44"/>
      <c r="E84" s="23"/>
      <c r="G84" s="88">
        <f>+G53</f>
        <v>370</v>
      </c>
      <c r="H84" s="88"/>
      <c r="I84" s="88">
        <f>+I53</f>
        <v>370</v>
      </c>
      <c r="J84" s="88">
        <f t="shared" ref="J84:K84" si="44">+J53</f>
        <v>370</v>
      </c>
      <c r="K84" s="88">
        <f t="shared" si="44"/>
        <v>370</v>
      </c>
    </row>
    <row r="85" spans="1:24" x14ac:dyDescent="0.3">
      <c r="A85" s="1"/>
      <c r="C85" s="44" t="s">
        <v>148</v>
      </c>
      <c r="D85" s="44"/>
      <c r="E85" s="23"/>
      <c r="G85" s="88">
        <f>SUM(G54,G77)</f>
        <v>27.509999999999998</v>
      </c>
      <c r="H85" s="88"/>
      <c r="I85" s="88">
        <f>SUM(I54,I77)</f>
        <v>27.509999999999998</v>
      </c>
      <c r="J85" s="88">
        <f t="shared" ref="J85:K85" si="45">SUM(J54,J77)</f>
        <v>27.509999999999998</v>
      </c>
      <c r="K85" s="88">
        <f t="shared" si="45"/>
        <v>27.509999999999998</v>
      </c>
    </row>
    <row r="86" spans="1:24" x14ac:dyDescent="0.3">
      <c r="A86" s="1"/>
      <c r="C86" s="44" t="s">
        <v>122</v>
      </c>
      <c r="D86" s="37"/>
      <c r="E86" s="37"/>
      <c r="F86" s="53"/>
      <c r="G86" s="91">
        <f>SUM(G55:G76,G78:G80)</f>
        <v>8.1399999999999997E-3</v>
      </c>
      <c r="H86" s="91"/>
      <c r="I86" s="91">
        <f>SUM(I55:I76,I78:I80)</f>
        <v>2.6649999999999997E-2</v>
      </c>
      <c r="J86" s="91">
        <f t="shared" ref="J86:K86" si="46">SUM(J55:J76,J78:J80)</f>
        <v>2.9599999999999998E-2</v>
      </c>
      <c r="K86" s="91">
        <f t="shared" si="46"/>
        <v>2.9399999999999999E-2</v>
      </c>
    </row>
    <row r="87" spans="1:24" x14ac:dyDescent="0.3">
      <c r="A87" s="1"/>
      <c r="C87" s="44" t="s">
        <v>123</v>
      </c>
      <c r="D87" s="37"/>
      <c r="E87" s="37"/>
      <c r="F87" s="53"/>
      <c r="G87" s="91">
        <f>+G81</f>
        <v>0.13556000000000001</v>
      </c>
      <c r="H87" s="91"/>
      <c r="I87" s="91">
        <f>+I81</f>
        <v>0.13556000000000001</v>
      </c>
      <c r="J87" s="91">
        <f t="shared" ref="J87:K87" si="47">+J81</f>
        <v>0.13556000000000001</v>
      </c>
      <c r="K87" s="91">
        <f t="shared" si="47"/>
        <v>0.13556000000000001</v>
      </c>
    </row>
    <row r="118" spans="2:23" x14ac:dyDescent="0.3">
      <c r="B118" s="144"/>
      <c r="C118" s="190"/>
    </row>
    <row r="119" spans="2:23" x14ac:dyDescent="0.3">
      <c r="B119" s="144"/>
      <c r="C119" s="163"/>
      <c r="D119" s="163"/>
      <c r="E119" s="146"/>
      <c r="F119" s="146"/>
      <c r="G119" s="146"/>
      <c r="H119" s="147"/>
      <c r="I119" s="146"/>
      <c r="J119" s="146"/>
      <c r="K119" s="146"/>
      <c r="L119" s="147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8"/>
    </row>
    <row r="120" spans="2:23" x14ac:dyDescent="0.3">
      <c r="B120" s="144"/>
      <c r="C120" s="163"/>
      <c r="D120" s="163"/>
      <c r="E120" s="146"/>
      <c r="F120" s="146"/>
      <c r="G120" s="146"/>
      <c r="H120" s="147"/>
      <c r="I120" s="146"/>
      <c r="J120" s="146"/>
      <c r="K120" s="146"/>
      <c r="L120" s="147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8"/>
    </row>
    <row r="121" spans="2:23" x14ac:dyDescent="0.3">
      <c r="B121" s="144"/>
      <c r="C121" s="163"/>
      <c r="D121" s="163"/>
      <c r="E121" s="146"/>
      <c r="F121" s="146"/>
      <c r="G121" s="146"/>
      <c r="H121" s="170"/>
      <c r="I121" s="146"/>
      <c r="J121" s="146"/>
      <c r="K121" s="146"/>
      <c r="L121" s="170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8"/>
    </row>
    <row r="123" spans="2:23" x14ac:dyDescent="0.3">
      <c r="B123" s="144"/>
      <c r="C123" s="163"/>
      <c r="D123" s="163"/>
      <c r="E123" s="146"/>
      <c r="F123" s="146"/>
      <c r="G123" s="146"/>
      <c r="H123" s="147"/>
      <c r="I123" s="146"/>
      <c r="J123" s="146"/>
      <c r="K123" s="146"/>
      <c r="L123" s="147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8"/>
    </row>
    <row r="124" spans="2:23" x14ac:dyDescent="0.3">
      <c r="B124" s="144"/>
      <c r="C124" s="163"/>
      <c r="D124" s="163"/>
      <c r="E124" s="146"/>
      <c r="F124" s="146"/>
      <c r="G124" s="146"/>
      <c r="H124" s="147"/>
      <c r="I124" s="146"/>
      <c r="J124" s="146"/>
      <c r="K124" s="146"/>
      <c r="L124" s="147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8"/>
    </row>
    <row r="125" spans="2:23" x14ac:dyDescent="0.3">
      <c r="B125" s="144"/>
      <c r="C125" s="163"/>
      <c r="D125" s="163"/>
      <c r="E125" s="146"/>
      <c r="F125" s="146"/>
      <c r="G125" s="146"/>
      <c r="H125" s="170"/>
      <c r="I125" s="146"/>
      <c r="J125" s="146"/>
      <c r="K125" s="146"/>
      <c r="L125" s="170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8"/>
    </row>
  </sheetData>
  <mergeCells count="7">
    <mergeCell ref="AA11:AB11"/>
    <mergeCell ref="E11:G11"/>
    <mergeCell ref="I11:K11"/>
    <mergeCell ref="M11:N11"/>
    <mergeCell ref="P11:R11"/>
    <mergeCell ref="T11:U11"/>
    <mergeCell ref="W11:Y11"/>
  </mergeCells>
  <pageMargins left="0.7" right="0.7" top="0.75" bottom="0.75" header="0.3" footer="0.3"/>
  <pageSetup scale="33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B0BBD-0979-4BD6-A9CC-17F430A00B3A}">
  <sheetPr>
    <tabColor theme="3" tint="0.59999389629810485"/>
    <pageSetUpPr fitToPage="1"/>
  </sheetPr>
  <dimension ref="A1:AD127"/>
  <sheetViews>
    <sheetView zoomScaleNormal="100" workbookViewId="0"/>
  </sheetViews>
  <sheetFormatPr defaultColWidth="9.1796875" defaultRowHeight="14" x14ac:dyDescent="0.3"/>
  <cols>
    <col min="1" max="1" width="3.81640625" style="2" customWidth="1"/>
    <col min="2" max="2" width="4.453125" style="2" bestFit="1" customWidth="1"/>
    <col min="3" max="4" width="12" style="2" customWidth="1"/>
    <col min="5" max="5" width="12.6328125" style="2" bestFit="1" customWidth="1"/>
    <col min="6" max="6" width="13.08984375" style="2" bestFit="1" customWidth="1"/>
    <col min="7" max="7" width="13.453125" style="2" bestFit="1" customWidth="1"/>
    <col min="8" max="8" width="2" style="2" customWidth="1"/>
    <col min="9" max="10" width="13.08984375" style="2" bestFit="1" customWidth="1"/>
    <col min="11" max="11" width="13.453125" style="2" bestFit="1" customWidth="1"/>
    <col min="12" max="12" width="2" style="2" customWidth="1"/>
    <col min="13" max="14" width="12" style="2" customWidth="1"/>
    <col min="15" max="15" width="2" style="2" customWidth="1"/>
    <col min="16" max="18" width="13.08984375" style="2" bestFit="1" customWidth="1"/>
    <col min="19" max="19" width="2" style="2" customWidth="1"/>
    <col min="20" max="21" width="12" style="2" customWidth="1"/>
    <col min="22" max="22" width="2" style="2" customWidth="1"/>
    <col min="23" max="24" width="13.08984375" style="2" bestFit="1" customWidth="1"/>
    <col min="25" max="25" width="13.453125" style="2" bestFit="1" customWidth="1"/>
    <col min="26" max="26" width="2" style="2" customWidth="1"/>
    <col min="27" max="28" width="12" style="2" customWidth="1"/>
    <col min="29" max="29" width="13" style="2" bestFit="1" customWidth="1"/>
    <col min="30" max="30" width="8.453125" style="2" bestFit="1" customWidth="1"/>
    <col min="31" max="16384" width="9.1796875" style="2"/>
  </cols>
  <sheetData>
    <row r="1" spans="1:30" x14ac:dyDescent="0.3">
      <c r="A1" s="1">
        <v>1</v>
      </c>
    </row>
    <row r="2" spans="1:30" x14ac:dyDescent="0.3">
      <c r="A2" s="1">
        <f>A1+1</f>
        <v>2</v>
      </c>
    </row>
    <row r="3" spans="1:30" x14ac:dyDescent="0.3">
      <c r="A3" s="1">
        <f t="shared" ref="A3:A66" si="0">A2+1</f>
        <v>3</v>
      </c>
      <c r="B3" s="24" t="s">
        <v>40</v>
      </c>
    </row>
    <row r="4" spans="1:30" x14ac:dyDescent="0.3">
      <c r="A4" s="1">
        <f t="shared" si="0"/>
        <v>4</v>
      </c>
      <c r="B4" s="24" t="s">
        <v>41</v>
      </c>
      <c r="C4" s="44"/>
      <c r="D4" s="44"/>
      <c r="E4" s="149"/>
      <c r="F4" s="22"/>
      <c r="G4" s="150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30" x14ac:dyDescent="0.3">
      <c r="A5" s="1">
        <f t="shared" si="0"/>
        <v>5</v>
      </c>
      <c r="B5" s="24"/>
      <c r="C5" s="44"/>
      <c r="D5" s="44"/>
      <c r="E5" s="149"/>
      <c r="F5" s="22"/>
      <c r="G5" s="150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30" x14ac:dyDescent="0.3">
      <c r="A6" s="1">
        <f t="shared" si="0"/>
        <v>6</v>
      </c>
      <c r="B6" s="24" t="s">
        <v>9</v>
      </c>
      <c r="C6" s="44"/>
      <c r="D6" s="44"/>
      <c r="E6" s="149"/>
      <c r="F6" s="22"/>
      <c r="G6" s="150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0" x14ac:dyDescent="0.3">
      <c r="A7" s="1">
        <f t="shared" si="0"/>
        <v>7</v>
      </c>
      <c r="B7" s="1"/>
      <c r="C7" s="44"/>
      <c r="D7" s="44"/>
      <c r="E7" s="149"/>
      <c r="F7" s="22"/>
      <c r="G7" s="150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0" x14ac:dyDescent="0.3">
      <c r="A8" s="1">
        <f t="shared" si="0"/>
        <v>8</v>
      </c>
      <c r="B8" s="104"/>
      <c r="C8" s="44"/>
      <c r="D8" s="44"/>
      <c r="E8" s="44"/>
      <c r="F8" s="44"/>
      <c r="G8" s="132"/>
      <c r="H8" s="44"/>
    </row>
    <row r="9" spans="1:30" x14ac:dyDescent="0.3">
      <c r="A9" s="1">
        <f t="shared" si="0"/>
        <v>9</v>
      </c>
      <c r="B9" s="31"/>
      <c r="C9" s="44"/>
      <c r="D9" s="44"/>
      <c r="E9" s="44"/>
      <c r="F9" s="44"/>
      <c r="G9" s="132"/>
      <c r="H9" s="44"/>
    </row>
    <row r="10" spans="1:30" x14ac:dyDescent="0.3">
      <c r="A10" s="1">
        <f t="shared" si="0"/>
        <v>10</v>
      </c>
      <c r="B10" s="31"/>
      <c r="C10" s="104" t="s">
        <v>2</v>
      </c>
      <c r="D10" s="104" t="s">
        <v>2</v>
      </c>
      <c r="E10" s="32" t="str">
        <f>'EMA R1'!D10</f>
        <v>2024 Monthly Bill</v>
      </c>
      <c r="F10" s="32"/>
      <c r="G10" s="32"/>
      <c r="H10" s="133"/>
      <c r="I10" s="32" t="str">
        <f>'EMA R1'!H10</f>
        <v>2025 Illustrative Monthly Bill</v>
      </c>
      <c r="J10" s="32"/>
      <c r="K10" s="32"/>
      <c r="L10" s="23"/>
      <c r="M10" s="32" t="str">
        <f>'EMA R1'!L10</f>
        <v>2025 vs. 2024</v>
      </c>
      <c r="N10" s="32"/>
      <c r="O10" s="27"/>
      <c r="P10" s="32" t="str">
        <f>'EMA R1'!O10</f>
        <v>2026 Illustrative Monthly Bill</v>
      </c>
      <c r="Q10" s="32"/>
      <c r="R10" s="32"/>
      <c r="S10" s="133"/>
      <c r="T10" s="32" t="str">
        <f>'EMA R1'!S10</f>
        <v>2026 vs. 2025</v>
      </c>
      <c r="U10" s="32"/>
      <c r="V10" s="23"/>
      <c r="W10" s="32" t="str">
        <f>'EMA R1'!V10</f>
        <v>2027 Illustrative Monthly Bill</v>
      </c>
      <c r="X10" s="32"/>
      <c r="Y10" s="32"/>
      <c r="Z10" s="133"/>
      <c r="AA10" s="32" t="str">
        <f>'EMA R1'!Z10</f>
        <v>2027 vs. 2026</v>
      </c>
      <c r="AB10" s="32"/>
      <c r="AC10" s="28"/>
      <c r="AD10" s="28"/>
    </row>
    <row r="11" spans="1:30" x14ac:dyDescent="0.3">
      <c r="A11" s="1">
        <f t="shared" si="0"/>
        <v>11</v>
      </c>
      <c r="B11" s="31"/>
      <c r="C11" s="134" t="s">
        <v>165</v>
      </c>
      <c r="D11" s="134" t="s">
        <v>47</v>
      </c>
      <c r="E11" s="34" t="s">
        <v>48</v>
      </c>
      <c r="F11" s="34" t="s">
        <v>49</v>
      </c>
      <c r="G11" s="34" t="s">
        <v>50</v>
      </c>
      <c r="H11" s="34"/>
      <c r="I11" s="34" t="s">
        <v>48</v>
      </c>
      <c r="J11" s="34" t="s">
        <v>49</v>
      </c>
      <c r="K11" s="34" t="s">
        <v>50</v>
      </c>
      <c r="L11" s="23"/>
      <c r="M11" s="34" t="s">
        <v>51</v>
      </c>
      <c r="N11" s="34" t="s">
        <v>14</v>
      </c>
      <c r="O11" s="34"/>
      <c r="P11" s="34" t="s">
        <v>48</v>
      </c>
      <c r="Q11" s="34" t="s">
        <v>49</v>
      </c>
      <c r="R11" s="34" t="s">
        <v>50</v>
      </c>
      <c r="S11" s="34"/>
      <c r="T11" s="34" t="s">
        <v>51</v>
      </c>
      <c r="U11" s="34" t="s">
        <v>14</v>
      </c>
      <c r="V11" s="23"/>
      <c r="W11" s="34" t="s">
        <v>48</v>
      </c>
      <c r="X11" s="34" t="s">
        <v>49</v>
      </c>
      <c r="Y11" s="34" t="s">
        <v>50</v>
      </c>
      <c r="Z11" s="34"/>
      <c r="AA11" s="34" t="s">
        <v>51</v>
      </c>
      <c r="AB11" s="34" t="s">
        <v>14</v>
      </c>
      <c r="AC11" s="28"/>
      <c r="AD11" s="28"/>
    </row>
    <row r="12" spans="1:30" x14ac:dyDescent="0.3">
      <c r="A12" s="1">
        <f t="shared" si="0"/>
        <v>12</v>
      </c>
      <c r="B12" s="31"/>
      <c r="C12" s="134"/>
      <c r="D12" s="134"/>
      <c r="E12" s="134"/>
      <c r="F12" s="134"/>
      <c r="G12" s="134"/>
      <c r="H12" s="44"/>
      <c r="I12" s="134"/>
      <c r="J12" s="134"/>
      <c r="K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7"/>
      <c r="Y12" s="44"/>
      <c r="Z12" s="44"/>
      <c r="AA12" s="44"/>
      <c r="AB12" s="44"/>
      <c r="AC12" s="44"/>
      <c r="AD12" s="44"/>
    </row>
    <row r="13" spans="1:30" x14ac:dyDescent="0.3">
      <c r="A13" s="1">
        <f t="shared" si="0"/>
        <v>13</v>
      </c>
      <c r="B13" s="31"/>
      <c r="C13" s="164" t="s">
        <v>126</v>
      </c>
      <c r="D13" s="104">
        <v>290</v>
      </c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7"/>
      <c r="Y13" s="44"/>
      <c r="Z13" s="44"/>
      <c r="AA13" s="44"/>
      <c r="AB13" s="44"/>
      <c r="AC13" s="44"/>
      <c r="AD13" s="44"/>
    </row>
    <row r="14" spans="1:30" x14ac:dyDescent="0.3">
      <c r="A14" s="1">
        <f t="shared" si="0"/>
        <v>14</v>
      </c>
      <c r="B14" s="31"/>
      <c r="C14" s="105">
        <v>100</v>
      </c>
      <c r="D14" s="106">
        <f t="shared" ref="D14:D20" si="1">C14*$D$13</f>
        <v>29000</v>
      </c>
      <c r="E14" s="135">
        <f>ROUND($G$75+$G$76+$C14*$G$77+MAX($C14-100,0)*$G$78+$D14*$G$79,2)</f>
        <v>2052.77</v>
      </c>
      <c r="F14" s="135">
        <f>ROUND($G$80*$D14,2)</f>
        <v>3513.06</v>
      </c>
      <c r="G14" s="135">
        <f t="shared" ref="G14:G20" si="2">SUM(E14:F14)</f>
        <v>5565.83</v>
      </c>
      <c r="H14" s="136"/>
      <c r="I14" s="135">
        <f>ROUND($I$75+$I$76+$C14*$I$77+MAX($C14-100,0)*$I$78+$D14*$I$79,2)</f>
        <v>2589.56</v>
      </c>
      <c r="J14" s="135">
        <f>ROUND($I$80*$D14,2)</f>
        <v>3513.06</v>
      </c>
      <c r="K14" s="135">
        <f t="shared" ref="K14:K20" si="3">SUM(I14:J14)</f>
        <v>6102.62</v>
      </c>
      <c r="L14" s="136"/>
      <c r="M14" s="135">
        <f>+K14-G14</f>
        <v>536.79</v>
      </c>
      <c r="N14" s="137">
        <f t="shared" ref="N14:N20" si="4">+M14/G14</f>
        <v>9.6443836768280736E-2</v>
      </c>
      <c r="O14" s="135"/>
      <c r="P14" s="135">
        <f>ROUND($J$75+$J$76+$C14*$J$77+MAX($C14-100,0)*$J$78+$D14*$J$79,2)</f>
        <v>2675.11</v>
      </c>
      <c r="Q14" s="135">
        <f>ROUND($J$80*$D14,2)</f>
        <v>3513.06</v>
      </c>
      <c r="R14" s="135">
        <f t="shared" ref="R14:R38" si="5">SUM(P14:Q14)</f>
        <v>6188.17</v>
      </c>
      <c r="S14" s="136"/>
      <c r="T14" s="135">
        <f>+R14-K14</f>
        <v>85.550000000000182</v>
      </c>
      <c r="U14" s="137">
        <f>+T14/K14</f>
        <v>1.4018569073611037E-2</v>
      </c>
      <c r="V14" s="135"/>
      <c r="W14" s="135">
        <f>ROUND($K$75+$K$76+$C14*$K$77+MAX($C14-100,0)*$K$78+$D14*$K$79,2)</f>
        <v>2669.31</v>
      </c>
      <c r="X14" s="135">
        <f>ROUND($K$80*$D14,2)</f>
        <v>3513.06</v>
      </c>
      <c r="Y14" s="135">
        <f t="shared" ref="Y14:Y38" si="6">SUM(W14:X14)</f>
        <v>6182.37</v>
      </c>
      <c r="Z14" s="136"/>
      <c r="AA14" s="135">
        <f>+Y14-R14</f>
        <v>-5.8000000000001819</v>
      </c>
      <c r="AB14" s="137">
        <f>+AA14/R14</f>
        <v>-9.3727224688400321E-4</v>
      </c>
      <c r="AC14" s="37"/>
      <c r="AD14" s="37"/>
    </row>
    <row r="15" spans="1:30" x14ac:dyDescent="0.3">
      <c r="A15" s="1">
        <f t="shared" si="0"/>
        <v>15</v>
      </c>
      <c r="B15" s="31"/>
      <c r="C15" s="105">
        <v>165</v>
      </c>
      <c r="D15" s="106">
        <f t="shared" si="1"/>
        <v>47850</v>
      </c>
      <c r="E15" s="135">
        <f t="shared" ref="E15:E38" si="7">ROUND($G$75+$G$76+$C15*$G$77+MAX($C15-100,0)*$G$78+$D15*$G$79,2)</f>
        <v>3953.18</v>
      </c>
      <c r="F15" s="135">
        <f t="shared" ref="F15:F38" si="8">ROUND($G$80*$D15,2)</f>
        <v>5796.55</v>
      </c>
      <c r="G15" s="135">
        <f t="shared" si="2"/>
        <v>9749.73</v>
      </c>
      <c r="H15" s="136"/>
      <c r="I15" s="135">
        <f t="shared" ref="I15:I38" si="9">ROUND($I$75+$I$76+$C15*$I$77+MAX($C15-100,0)*$I$78+$D15*$I$79,2)</f>
        <v>4838.88</v>
      </c>
      <c r="J15" s="135">
        <f t="shared" ref="J15:J38" si="10">ROUND($I$80*$D15,2)</f>
        <v>5796.55</v>
      </c>
      <c r="K15" s="135">
        <f t="shared" si="3"/>
        <v>10635.43</v>
      </c>
      <c r="L15" s="136"/>
      <c r="M15" s="135">
        <f t="shared" ref="M15:M20" si="11">+K15-G15</f>
        <v>885.70000000000073</v>
      </c>
      <c r="N15" s="137">
        <f t="shared" si="4"/>
        <v>9.0843541308323492E-2</v>
      </c>
      <c r="O15" s="135"/>
      <c r="P15" s="135">
        <f t="shared" ref="P15:P38" si="12">ROUND($J$75+$J$76+$C15*$J$77+MAX($C15-100,0)*$J$78+$D15*$J$79,2)</f>
        <v>4980.04</v>
      </c>
      <c r="Q15" s="135">
        <f t="shared" ref="Q15:Q38" si="13">ROUND($J$80*$D15,2)</f>
        <v>5796.55</v>
      </c>
      <c r="R15" s="135">
        <f t="shared" si="5"/>
        <v>10776.59</v>
      </c>
      <c r="S15" s="136"/>
      <c r="T15" s="135">
        <f t="shared" ref="T15:T38" si="14">+R15-K15</f>
        <v>141.15999999999985</v>
      </c>
      <c r="U15" s="137">
        <f t="shared" ref="U15:U38" si="15">+T15/K15</f>
        <v>1.3272618032369152E-2</v>
      </c>
      <c r="V15" s="135"/>
      <c r="W15" s="135">
        <f t="shared" ref="W15:W38" si="16">ROUND($K$75+$K$76+$C15*$K$77+MAX($C15-100,0)*$K$78+$D15*$K$79,2)</f>
        <v>4970.47</v>
      </c>
      <c r="X15" s="135">
        <f t="shared" ref="X15:X38" si="17">ROUND($K$80*$D15,2)</f>
        <v>5796.55</v>
      </c>
      <c r="Y15" s="135">
        <f t="shared" si="6"/>
        <v>10767.02</v>
      </c>
      <c r="Z15" s="136"/>
      <c r="AA15" s="135">
        <f t="shared" ref="AA15:AA37" si="18">+Y15-R15</f>
        <v>-9.569999999999709</v>
      </c>
      <c r="AB15" s="137">
        <f t="shared" ref="AB15:AB37" si="19">+AA15/R15</f>
        <v>-8.8803601139133149E-4</v>
      </c>
      <c r="AC15" s="37"/>
      <c r="AD15" s="37"/>
    </row>
    <row r="16" spans="1:30" x14ac:dyDescent="0.3">
      <c r="A16" s="1">
        <f t="shared" si="0"/>
        <v>16</v>
      </c>
      <c r="B16" s="31"/>
      <c r="C16" s="105">
        <v>280</v>
      </c>
      <c r="D16" s="106">
        <f t="shared" si="1"/>
        <v>81200</v>
      </c>
      <c r="E16" s="135">
        <f t="shared" si="7"/>
        <v>7315.43</v>
      </c>
      <c r="F16" s="135">
        <f>ROUND($G$80*$D16,2)</f>
        <v>9836.57</v>
      </c>
      <c r="G16" s="135">
        <f t="shared" si="2"/>
        <v>17152</v>
      </c>
      <c r="H16" s="136"/>
      <c r="I16" s="135">
        <f t="shared" si="9"/>
        <v>8818.44</v>
      </c>
      <c r="J16" s="135">
        <f t="shared" si="10"/>
        <v>9836.57</v>
      </c>
      <c r="K16" s="135">
        <f t="shared" si="3"/>
        <v>18655.010000000002</v>
      </c>
      <c r="L16" s="136"/>
      <c r="M16" s="135">
        <f t="shared" si="11"/>
        <v>1503.010000000002</v>
      </c>
      <c r="N16" s="137">
        <f t="shared" si="4"/>
        <v>8.762884794776131E-2</v>
      </c>
      <c r="O16" s="135"/>
      <c r="P16" s="135">
        <f>ROUND($J$75+$J$76+$C16*$J$77+MAX($C16-100,0)*$J$78+$D16*$J$79,2)</f>
        <v>9057.98</v>
      </c>
      <c r="Q16" s="135">
        <f>ROUND($J$80*$D16,2)</f>
        <v>9836.57</v>
      </c>
      <c r="R16" s="135">
        <f t="shared" si="5"/>
        <v>18894.55</v>
      </c>
      <c r="S16" s="136"/>
      <c r="T16" s="135">
        <f t="shared" si="14"/>
        <v>239.53999999999724</v>
      </c>
      <c r="U16" s="137">
        <f t="shared" si="15"/>
        <v>1.284051844517892E-2</v>
      </c>
      <c r="V16" s="135"/>
      <c r="W16" s="135">
        <f t="shared" si="16"/>
        <v>9041.74</v>
      </c>
      <c r="X16" s="135">
        <f>ROUND($K$80*$D16,2)</f>
        <v>9836.57</v>
      </c>
      <c r="Y16" s="135">
        <f t="shared" si="6"/>
        <v>18878.309999999998</v>
      </c>
      <c r="Z16" s="136"/>
      <c r="AA16" s="135">
        <f t="shared" si="18"/>
        <v>-16.240000000001601</v>
      </c>
      <c r="AB16" s="137">
        <f t="shared" si="19"/>
        <v>-8.5950710654668155E-4</v>
      </c>
      <c r="AC16" s="37"/>
      <c r="AD16" s="37"/>
    </row>
    <row r="17" spans="1:30" x14ac:dyDescent="0.3">
      <c r="A17" s="1">
        <f t="shared" si="0"/>
        <v>17</v>
      </c>
      <c r="B17" s="31"/>
      <c r="C17" s="105">
        <v>465</v>
      </c>
      <c r="D17" s="106">
        <f t="shared" si="1"/>
        <v>134850</v>
      </c>
      <c r="E17" s="135">
        <f>ROUND($G$75+$G$76+$C17*$G$77+MAX($C17-100,0)*$G$78+$D17*$G$79,2)</f>
        <v>12724.28</v>
      </c>
      <c r="F17" s="135">
        <f t="shared" si="8"/>
        <v>16335.73</v>
      </c>
      <c r="G17" s="135">
        <f t="shared" si="2"/>
        <v>29060.010000000002</v>
      </c>
      <c r="H17" s="136"/>
      <c r="I17" s="135">
        <f>ROUND($I$75+$I$76+$C17*$I$77+MAX($C17-100,0)*$I$78+$D17*$I$79,2)</f>
        <v>15220.35</v>
      </c>
      <c r="J17" s="135">
        <f>ROUND($I$80*$D17,2)</f>
        <v>16335.73</v>
      </c>
      <c r="K17" s="135">
        <f t="shared" si="3"/>
        <v>31556.080000000002</v>
      </c>
      <c r="L17" s="136"/>
      <c r="M17" s="135">
        <f t="shared" si="11"/>
        <v>2496.0699999999997</v>
      </c>
      <c r="N17" s="137">
        <f t="shared" si="4"/>
        <v>8.5893638715196577E-2</v>
      </c>
      <c r="O17" s="135"/>
      <c r="P17" s="135">
        <f t="shared" si="12"/>
        <v>15618.16</v>
      </c>
      <c r="Q17" s="135">
        <f t="shared" si="13"/>
        <v>16335.73</v>
      </c>
      <c r="R17" s="135">
        <f t="shared" si="5"/>
        <v>31953.89</v>
      </c>
      <c r="S17" s="136"/>
      <c r="T17" s="135">
        <f t="shared" si="14"/>
        <v>397.80999999999767</v>
      </c>
      <c r="U17" s="137">
        <f t="shared" si="15"/>
        <v>1.2606445414005721E-2</v>
      </c>
      <c r="V17" s="135"/>
      <c r="W17" s="135">
        <f>ROUND($K$75+$K$76+$C17*$K$77+MAX($C17-100,0)*$K$78+$D17*$K$79,2)</f>
        <v>15591.19</v>
      </c>
      <c r="X17" s="135">
        <f t="shared" si="17"/>
        <v>16335.73</v>
      </c>
      <c r="Y17" s="135">
        <f t="shared" si="6"/>
        <v>31926.92</v>
      </c>
      <c r="Z17" s="136"/>
      <c r="AA17" s="135">
        <f t="shared" si="18"/>
        <v>-26.970000000001164</v>
      </c>
      <c r="AB17" s="137">
        <f t="shared" si="19"/>
        <v>-8.4402869259427146E-4</v>
      </c>
      <c r="AC17" s="37"/>
      <c r="AD17" s="37"/>
    </row>
    <row r="18" spans="1:30" x14ac:dyDescent="0.3">
      <c r="A18" s="1">
        <f t="shared" si="0"/>
        <v>18</v>
      </c>
      <c r="B18" s="31"/>
      <c r="C18" s="106">
        <v>790</v>
      </c>
      <c r="D18" s="106">
        <f t="shared" si="1"/>
        <v>229100</v>
      </c>
      <c r="E18" s="135">
        <f t="shared" si="7"/>
        <v>22226.3</v>
      </c>
      <c r="F18" s="135">
        <f t="shared" si="8"/>
        <v>27753.17</v>
      </c>
      <c r="G18" s="135">
        <f t="shared" si="2"/>
        <v>49979.47</v>
      </c>
      <c r="H18" s="136"/>
      <c r="I18" s="135">
        <f t="shared" si="9"/>
        <v>26466.94</v>
      </c>
      <c r="J18" s="135">
        <f t="shared" si="10"/>
        <v>27753.17</v>
      </c>
      <c r="K18" s="135">
        <f t="shared" si="3"/>
        <v>54220.11</v>
      </c>
      <c r="L18" s="136"/>
      <c r="M18" s="135">
        <f t="shared" si="11"/>
        <v>4240.6399999999994</v>
      </c>
      <c r="N18" s="137">
        <f t="shared" si="4"/>
        <v>8.4847638440343598E-2</v>
      </c>
      <c r="O18" s="135"/>
      <c r="P18" s="135">
        <f t="shared" si="12"/>
        <v>27142.79</v>
      </c>
      <c r="Q18" s="135">
        <f t="shared" si="13"/>
        <v>27753.17</v>
      </c>
      <c r="R18" s="135">
        <f t="shared" si="5"/>
        <v>54895.96</v>
      </c>
      <c r="S18" s="136"/>
      <c r="T18" s="135">
        <f t="shared" si="14"/>
        <v>675.84999999999854</v>
      </c>
      <c r="U18" s="137">
        <f t="shared" si="15"/>
        <v>1.2464932291727156E-2</v>
      </c>
      <c r="V18" s="135"/>
      <c r="W18" s="135">
        <f t="shared" si="16"/>
        <v>27096.97</v>
      </c>
      <c r="X18" s="135">
        <f t="shared" si="17"/>
        <v>27753.17</v>
      </c>
      <c r="Y18" s="135">
        <f t="shared" si="6"/>
        <v>54850.14</v>
      </c>
      <c r="Z18" s="136"/>
      <c r="AA18" s="135">
        <f t="shared" si="18"/>
        <v>-45.819999999999709</v>
      </c>
      <c r="AB18" s="137">
        <f t="shared" si="19"/>
        <v>-8.3466980083779767E-4</v>
      </c>
      <c r="AC18" s="37"/>
      <c r="AD18" s="37"/>
    </row>
    <row r="19" spans="1:30" x14ac:dyDescent="0.3">
      <c r="A19" s="1">
        <f t="shared" si="0"/>
        <v>19</v>
      </c>
      <c r="B19" s="31"/>
      <c r="C19" s="105">
        <v>3400</v>
      </c>
      <c r="D19" s="106">
        <f t="shared" si="1"/>
        <v>986000</v>
      </c>
      <c r="E19" s="135">
        <f t="shared" si="7"/>
        <v>98534.87</v>
      </c>
      <c r="F19" s="135">
        <f t="shared" si="8"/>
        <v>119444.04</v>
      </c>
      <c r="G19" s="135">
        <f t="shared" si="2"/>
        <v>217978.90999999997</v>
      </c>
      <c r="H19" s="136"/>
      <c r="I19" s="135">
        <f t="shared" si="9"/>
        <v>116785.73</v>
      </c>
      <c r="J19" s="135">
        <f t="shared" si="10"/>
        <v>119444.04</v>
      </c>
      <c r="K19" s="135">
        <f t="shared" si="3"/>
        <v>236229.77</v>
      </c>
      <c r="L19" s="136"/>
      <c r="M19" s="135">
        <f t="shared" si="11"/>
        <v>18250.860000000015</v>
      </c>
      <c r="N19" s="137">
        <f t="shared" si="4"/>
        <v>8.3727641357597471E-2</v>
      </c>
      <c r="O19" s="135"/>
      <c r="P19" s="135">
        <f t="shared" si="12"/>
        <v>119694.43</v>
      </c>
      <c r="Q19" s="135">
        <f t="shared" si="13"/>
        <v>119444.04</v>
      </c>
      <c r="R19" s="135">
        <f t="shared" si="5"/>
        <v>239138.46999999997</v>
      </c>
      <c r="S19" s="136"/>
      <c r="T19" s="135">
        <f t="shared" si="14"/>
        <v>2908.6999999999825</v>
      </c>
      <c r="U19" s="137">
        <f t="shared" si="15"/>
        <v>1.2313012030617406E-2</v>
      </c>
      <c r="V19" s="135"/>
      <c r="W19" s="135">
        <f t="shared" si="16"/>
        <v>119497.23</v>
      </c>
      <c r="X19" s="135">
        <f t="shared" si="17"/>
        <v>119444.04</v>
      </c>
      <c r="Y19" s="135">
        <f t="shared" si="6"/>
        <v>238941.27</v>
      </c>
      <c r="Z19" s="136"/>
      <c r="AA19" s="135">
        <f t="shared" si="18"/>
        <v>-197.19999999998254</v>
      </c>
      <c r="AB19" s="137">
        <f t="shared" si="19"/>
        <v>-8.2462683649344479E-4</v>
      </c>
      <c r="AC19" s="37"/>
      <c r="AD19" s="37"/>
    </row>
    <row r="20" spans="1:30" x14ac:dyDescent="0.3">
      <c r="A20" s="1">
        <f t="shared" si="0"/>
        <v>20</v>
      </c>
      <c r="B20" s="31" t="s">
        <v>52</v>
      </c>
      <c r="C20" s="105">
        <v>859</v>
      </c>
      <c r="D20" s="106">
        <f t="shared" si="1"/>
        <v>249110</v>
      </c>
      <c r="E20" s="135">
        <f t="shared" si="7"/>
        <v>24243.65</v>
      </c>
      <c r="F20" s="135">
        <f t="shared" si="8"/>
        <v>30177.19</v>
      </c>
      <c r="G20" s="135">
        <f t="shared" si="2"/>
        <v>54420.84</v>
      </c>
      <c r="H20" s="136"/>
      <c r="I20" s="135">
        <f t="shared" si="9"/>
        <v>28854.68</v>
      </c>
      <c r="J20" s="135">
        <f t="shared" si="10"/>
        <v>30177.19</v>
      </c>
      <c r="K20" s="135">
        <f t="shared" si="3"/>
        <v>59031.869999999995</v>
      </c>
      <c r="L20" s="136"/>
      <c r="M20" s="135">
        <f t="shared" si="11"/>
        <v>4611.0299999999988</v>
      </c>
      <c r="N20" s="137">
        <f t="shared" si="4"/>
        <v>8.4729122152469513E-2</v>
      </c>
      <c r="O20" s="135"/>
      <c r="P20" s="135">
        <f t="shared" si="12"/>
        <v>29589.55</v>
      </c>
      <c r="Q20" s="135">
        <f t="shared" si="13"/>
        <v>30177.19</v>
      </c>
      <c r="R20" s="135">
        <f t="shared" si="5"/>
        <v>59766.74</v>
      </c>
      <c r="S20" s="136"/>
      <c r="T20" s="135">
        <f t="shared" si="14"/>
        <v>734.87000000000262</v>
      </c>
      <c r="U20" s="137">
        <f t="shared" si="15"/>
        <v>1.2448699321231103E-2</v>
      </c>
      <c r="V20" s="135"/>
      <c r="W20" s="135">
        <f t="shared" si="16"/>
        <v>29539.73</v>
      </c>
      <c r="X20" s="135">
        <f t="shared" si="17"/>
        <v>30177.19</v>
      </c>
      <c r="Y20" s="135">
        <f t="shared" si="6"/>
        <v>59716.92</v>
      </c>
      <c r="Z20" s="136"/>
      <c r="AA20" s="135">
        <f t="shared" si="18"/>
        <v>-49.819999999999709</v>
      </c>
      <c r="AB20" s="137">
        <f t="shared" si="19"/>
        <v>-8.3357399115293403E-4</v>
      </c>
      <c r="AC20" s="37"/>
      <c r="AD20" s="37"/>
    </row>
    <row r="21" spans="1:30" x14ac:dyDescent="0.3">
      <c r="A21" s="1">
        <f t="shared" si="0"/>
        <v>21</v>
      </c>
      <c r="B21" s="31"/>
      <c r="C21" s="158"/>
      <c r="D21" s="158"/>
      <c r="E21" s="135"/>
      <c r="F21" s="135"/>
      <c r="G21" s="153"/>
      <c r="H21" s="159"/>
      <c r="I21" s="135"/>
      <c r="J21" s="135"/>
      <c r="K21" s="159"/>
      <c r="L21" s="159"/>
      <c r="M21" s="159"/>
      <c r="N21" s="159"/>
      <c r="O21" s="159"/>
      <c r="P21" s="135"/>
      <c r="Q21" s="135"/>
      <c r="R21" s="135"/>
      <c r="S21" s="159"/>
      <c r="T21" s="135"/>
      <c r="U21" s="137"/>
      <c r="V21" s="159"/>
      <c r="W21" s="135"/>
      <c r="X21" s="135"/>
      <c r="Y21" s="135"/>
      <c r="Z21" s="37"/>
      <c r="AA21" s="135"/>
      <c r="AB21" s="137"/>
      <c r="AC21" s="37"/>
      <c r="AD21" s="37"/>
    </row>
    <row r="22" spans="1:30" x14ac:dyDescent="0.3">
      <c r="A22" s="1">
        <f t="shared" si="0"/>
        <v>22</v>
      </c>
      <c r="B22" s="31"/>
      <c r="C22" s="164" t="s">
        <v>126</v>
      </c>
      <c r="D22" s="104">
        <v>435</v>
      </c>
      <c r="E22" s="135"/>
      <c r="F22" s="135"/>
      <c r="G22" s="136"/>
      <c r="H22" s="136"/>
      <c r="I22" s="135"/>
      <c r="J22" s="135"/>
      <c r="K22" s="136"/>
      <c r="L22" s="136"/>
      <c r="M22" s="136"/>
      <c r="N22" s="136"/>
      <c r="O22" s="136"/>
      <c r="P22" s="135"/>
      <c r="Q22" s="135"/>
      <c r="R22" s="135"/>
      <c r="S22" s="136"/>
      <c r="T22" s="135"/>
      <c r="U22" s="137"/>
      <c r="V22" s="136"/>
      <c r="W22" s="135"/>
      <c r="X22" s="135"/>
      <c r="Y22" s="135"/>
      <c r="AA22" s="135"/>
      <c r="AB22" s="137"/>
    </row>
    <row r="23" spans="1:30" x14ac:dyDescent="0.3">
      <c r="A23" s="1">
        <f t="shared" si="0"/>
        <v>23</v>
      </c>
      <c r="B23" s="31"/>
      <c r="C23" s="105">
        <v>140</v>
      </c>
      <c r="D23" s="106">
        <f t="shared" ref="D23:D29" si="20">C23*$D$22</f>
        <v>60900</v>
      </c>
      <c r="E23" s="135">
        <f t="shared" si="7"/>
        <v>3411.04</v>
      </c>
      <c r="F23" s="135">
        <f t="shared" si="8"/>
        <v>7377.43</v>
      </c>
      <c r="G23" s="135">
        <f t="shared" ref="G23" si="21">SUM(E23:F23)</f>
        <v>10788.470000000001</v>
      </c>
      <c r="H23" s="136"/>
      <c r="I23" s="135">
        <f t="shared" si="9"/>
        <v>4538.3</v>
      </c>
      <c r="J23" s="135">
        <f t="shared" si="10"/>
        <v>7377.43</v>
      </c>
      <c r="K23" s="135">
        <f t="shared" ref="K23:K29" si="22">SUM(I23:J23)</f>
        <v>11915.73</v>
      </c>
      <c r="L23" s="136"/>
      <c r="M23" s="135">
        <f t="shared" ref="M23:M29" si="23">+K23-G23</f>
        <v>1127.2599999999984</v>
      </c>
      <c r="N23" s="137">
        <f t="shared" ref="N23:N29" si="24">+M23/G23</f>
        <v>0.10448747598130211</v>
      </c>
      <c r="O23" s="135"/>
      <c r="P23" s="135">
        <f>ROUND($J$75+$J$76+$C23*$J$77+MAX($C23-100,0)*$J$78+$D23*$J$79,2)</f>
        <v>4717.95</v>
      </c>
      <c r="Q23" s="135">
        <f t="shared" si="13"/>
        <v>7377.43</v>
      </c>
      <c r="R23" s="135">
        <f t="shared" si="5"/>
        <v>12095.380000000001</v>
      </c>
      <c r="S23" s="135"/>
      <c r="T23" s="135">
        <f t="shared" si="14"/>
        <v>179.65000000000146</v>
      </c>
      <c r="U23" s="137">
        <f t="shared" si="15"/>
        <v>1.5076709525979648E-2</v>
      </c>
      <c r="V23" s="135"/>
      <c r="W23" s="135">
        <f t="shared" si="16"/>
        <v>4705.7700000000004</v>
      </c>
      <c r="X23" s="135">
        <f t="shared" si="17"/>
        <v>7377.43</v>
      </c>
      <c r="Y23" s="135">
        <f t="shared" si="6"/>
        <v>12083.2</v>
      </c>
      <c r="Z23" s="37"/>
      <c r="AA23" s="135">
        <f t="shared" si="18"/>
        <v>-12.180000000000291</v>
      </c>
      <c r="AB23" s="137">
        <f t="shared" si="19"/>
        <v>-1.0069960596525524E-3</v>
      </c>
      <c r="AC23" s="37"/>
      <c r="AD23" s="37"/>
    </row>
    <row r="24" spans="1:30" x14ac:dyDescent="0.3">
      <c r="A24" s="1">
        <f t="shared" si="0"/>
        <v>24</v>
      </c>
      <c r="B24" s="31"/>
      <c r="C24" s="105">
        <v>300</v>
      </c>
      <c r="D24" s="106">
        <f t="shared" si="20"/>
        <v>130500</v>
      </c>
      <c r="E24" s="135">
        <f t="shared" si="7"/>
        <v>8304.7199999999993</v>
      </c>
      <c r="F24" s="135">
        <f t="shared" si="8"/>
        <v>15808.77</v>
      </c>
      <c r="G24" s="135">
        <f t="shared" ref="G24:G29" si="25">SUM(E24:F24)</f>
        <v>24113.489999999998</v>
      </c>
      <c r="H24" s="136"/>
      <c r="I24" s="135">
        <f t="shared" si="9"/>
        <v>10720.28</v>
      </c>
      <c r="J24" s="135">
        <f t="shared" si="10"/>
        <v>15808.77</v>
      </c>
      <c r="K24" s="135">
        <f t="shared" si="22"/>
        <v>26529.050000000003</v>
      </c>
      <c r="L24" s="136"/>
      <c r="M24" s="135">
        <f t="shared" si="23"/>
        <v>2415.5600000000049</v>
      </c>
      <c r="N24" s="137">
        <f t="shared" si="24"/>
        <v>0.10017463253971139</v>
      </c>
      <c r="O24" s="135"/>
      <c r="P24" s="135">
        <f t="shared" si="12"/>
        <v>11105.25</v>
      </c>
      <c r="Q24" s="135">
        <f t="shared" si="13"/>
        <v>15808.77</v>
      </c>
      <c r="R24" s="135">
        <f t="shared" si="5"/>
        <v>26914.02</v>
      </c>
      <c r="S24" s="135"/>
      <c r="T24" s="135">
        <f t="shared" si="14"/>
        <v>384.96999999999753</v>
      </c>
      <c r="U24" s="137">
        <f t="shared" si="15"/>
        <v>1.4511262182399953E-2</v>
      </c>
      <c r="V24" s="135"/>
      <c r="W24" s="135">
        <f t="shared" si="16"/>
        <v>11079.15</v>
      </c>
      <c r="X24" s="135">
        <f t="shared" si="17"/>
        <v>15808.77</v>
      </c>
      <c r="Y24" s="135">
        <f t="shared" si="6"/>
        <v>26887.919999999998</v>
      </c>
      <c r="Z24" s="37"/>
      <c r="AA24" s="135">
        <f t="shared" si="18"/>
        <v>-26.100000000002183</v>
      </c>
      <c r="AB24" s="137">
        <f t="shared" si="19"/>
        <v>-9.697547969423439E-4</v>
      </c>
      <c r="AC24" s="37"/>
      <c r="AD24" s="37"/>
    </row>
    <row r="25" spans="1:30" x14ac:dyDescent="0.3">
      <c r="A25" s="1">
        <f t="shared" si="0"/>
        <v>25</v>
      </c>
      <c r="B25" s="31"/>
      <c r="C25" s="105">
        <v>500</v>
      </c>
      <c r="D25" s="106">
        <f t="shared" si="20"/>
        <v>217500</v>
      </c>
      <c r="E25" s="135">
        <f t="shared" si="7"/>
        <v>14421.82</v>
      </c>
      <c r="F25" s="135">
        <f t="shared" si="8"/>
        <v>26347.95</v>
      </c>
      <c r="G25" s="135">
        <f t="shared" si="25"/>
        <v>40769.770000000004</v>
      </c>
      <c r="H25" s="136"/>
      <c r="I25" s="135">
        <f t="shared" si="9"/>
        <v>18447.75</v>
      </c>
      <c r="J25" s="135">
        <f>ROUND($I$80*$D25,2)</f>
        <v>26347.95</v>
      </c>
      <c r="K25" s="135">
        <f t="shared" si="22"/>
        <v>44795.7</v>
      </c>
      <c r="L25" s="136"/>
      <c r="M25" s="135">
        <f t="shared" si="23"/>
        <v>4025.929999999993</v>
      </c>
      <c r="N25" s="137">
        <f t="shared" si="24"/>
        <v>9.8747920334110117E-2</v>
      </c>
      <c r="O25" s="135"/>
      <c r="P25" s="135">
        <f t="shared" si="12"/>
        <v>19089.37</v>
      </c>
      <c r="Q25" s="135">
        <f t="shared" si="13"/>
        <v>26347.95</v>
      </c>
      <c r="R25" s="135">
        <f t="shared" si="5"/>
        <v>45437.32</v>
      </c>
      <c r="S25" s="135"/>
      <c r="T25" s="135">
        <f t="shared" si="14"/>
        <v>641.62000000000262</v>
      </c>
      <c r="U25" s="137">
        <f t="shared" si="15"/>
        <v>1.4323249776206257E-2</v>
      </c>
      <c r="V25" s="135"/>
      <c r="W25" s="135">
        <f t="shared" si="16"/>
        <v>19045.87</v>
      </c>
      <c r="X25" s="135">
        <f t="shared" si="17"/>
        <v>26347.95</v>
      </c>
      <c r="Y25" s="135">
        <f t="shared" si="6"/>
        <v>45393.82</v>
      </c>
      <c r="Z25" s="37"/>
      <c r="AA25" s="135">
        <f t="shared" si="18"/>
        <v>-43.5</v>
      </c>
      <c r="AB25" s="137">
        <f t="shared" si="19"/>
        <v>-9.573628022075246E-4</v>
      </c>
      <c r="AC25" s="37"/>
      <c r="AD25" s="37"/>
    </row>
    <row r="26" spans="1:30" x14ac:dyDescent="0.3">
      <c r="A26" s="1">
        <f t="shared" si="0"/>
        <v>26</v>
      </c>
      <c r="B26" s="31"/>
      <c r="C26" s="105">
        <v>750</v>
      </c>
      <c r="D26" s="106">
        <f t="shared" si="20"/>
        <v>326250</v>
      </c>
      <c r="E26" s="135">
        <f>ROUND($G$75+$G$76+$C26*$G$77+MAX($C26-100,0)*$G$78+$D26*$G$79,2)</f>
        <v>22068.2</v>
      </c>
      <c r="F26" s="135">
        <f>ROUND($G$80*$D26,2)</f>
        <v>39521.93</v>
      </c>
      <c r="G26" s="135">
        <f t="shared" si="25"/>
        <v>61590.130000000005</v>
      </c>
      <c r="H26" s="136"/>
      <c r="I26" s="135">
        <f>ROUND($I$75+$I$76+$C26*$I$77+MAX($C26-100,0)*$I$78+$D26*$I$79,2)</f>
        <v>28107.08</v>
      </c>
      <c r="J26" s="135">
        <f t="shared" si="10"/>
        <v>39521.93</v>
      </c>
      <c r="K26" s="135">
        <f t="shared" si="22"/>
        <v>67629.010000000009</v>
      </c>
      <c r="L26" s="136"/>
      <c r="M26" s="135">
        <f t="shared" si="23"/>
        <v>6038.8800000000047</v>
      </c>
      <c r="N26" s="137">
        <f t="shared" si="24"/>
        <v>9.804947643396765E-2</v>
      </c>
      <c r="O26" s="135"/>
      <c r="P26" s="135">
        <f t="shared" si="12"/>
        <v>29069.52</v>
      </c>
      <c r="Q26" s="135">
        <f t="shared" si="13"/>
        <v>39521.93</v>
      </c>
      <c r="R26" s="135">
        <f t="shared" si="5"/>
        <v>68591.45</v>
      </c>
      <c r="S26" s="135"/>
      <c r="T26" s="135">
        <f t="shared" si="14"/>
        <v>962.43999999998778</v>
      </c>
      <c r="U26" s="137">
        <f t="shared" si="15"/>
        <v>1.4231170913192247E-2</v>
      </c>
      <c r="V26" s="135"/>
      <c r="W26" s="135">
        <f>ROUND($K$75+$K$76+$C26*$K$77+MAX($C26-100,0)*$K$78+$D26*$K$79,2)</f>
        <v>29004.27</v>
      </c>
      <c r="X26" s="135">
        <f t="shared" si="17"/>
        <v>39521.93</v>
      </c>
      <c r="Y26" s="135">
        <f t="shared" si="6"/>
        <v>68526.2</v>
      </c>
      <c r="Z26" s="37"/>
      <c r="AA26" s="135">
        <f t="shared" si="18"/>
        <v>-65.25</v>
      </c>
      <c r="AB26" s="137">
        <f t="shared" si="19"/>
        <v>-9.5128474467298771E-4</v>
      </c>
      <c r="AC26" s="37"/>
      <c r="AD26" s="37"/>
    </row>
    <row r="27" spans="1:30" x14ac:dyDescent="0.3">
      <c r="A27" s="1">
        <f t="shared" si="0"/>
        <v>27</v>
      </c>
      <c r="B27" s="31"/>
      <c r="C27" s="106">
        <v>1100</v>
      </c>
      <c r="D27" s="106">
        <f t="shared" si="20"/>
        <v>478500</v>
      </c>
      <c r="E27" s="135">
        <f t="shared" si="7"/>
        <v>32773.120000000003</v>
      </c>
      <c r="F27" s="135">
        <f t="shared" si="8"/>
        <v>57965.49</v>
      </c>
      <c r="G27" s="135">
        <f t="shared" si="25"/>
        <v>90738.61</v>
      </c>
      <c r="H27" s="136"/>
      <c r="I27" s="135">
        <f t="shared" si="9"/>
        <v>41630.160000000003</v>
      </c>
      <c r="J27" s="135">
        <f t="shared" si="10"/>
        <v>57965.49</v>
      </c>
      <c r="K27" s="135">
        <f t="shared" si="22"/>
        <v>99595.65</v>
      </c>
      <c r="L27" s="136"/>
      <c r="M27" s="135">
        <f t="shared" si="23"/>
        <v>8857.0399999999936</v>
      </c>
      <c r="N27" s="137">
        <f t="shared" si="24"/>
        <v>9.7610487971988916E-2</v>
      </c>
      <c r="O27" s="135"/>
      <c r="P27" s="135">
        <f t="shared" si="12"/>
        <v>43041.73</v>
      </c>
      <c r="Q27" s="135">
        <f>ROUND($J$80*$D27,2)</f>
        <v>57965.49</v>
      </c>
      <c r="R27" s="135">
        <f t="shared" si="5"/>
        <v>101007.22</v>
      </c>
      <c r="S27" s="135"/>
      <c r="T27" s="135">
        <f t="shared" si="14"/>
        <v>1411.570000000007</v>
      </c>
      <c r="U27" s="137">
        <f t="shared" si="15"/>
        <v>1.4173008560112887E-2</v>
      </c>
      <c r="V27" s="135"/>
      <c r="W27" s="135">
        <f t="shared" si="16"/>
        <v>42946.03</v>
      </c>
      <c r="X27" s="135">
        <f>ROUND($K$80*$D27,2)</f>
        <v>57965.49</v>
      </c>
      <c r="Y27" s="135">
        <f t="shared" si="6"/>
        <v>100911.51999999999</v>
      </c>
      <c r="Z27" s="37"/>
      <c r="AA27" s="135">
        <f t="shared" si="18"/>
        <v>-95.700000000011642</v>
      </c>
      <c r="AB27" s="137">
        <f t="shared" si="19"/>
        <v>-9.4745702336933573E-4</v>
      </c>
      <c r="AC27" s="37"/>
      <c r="AD27" s="37"/>
    </row>
    <row r="28" spans="1:30" x14ac:dyDescent="0.3">
      <c r="A28" s="1">
        <f t="shared" si="0"/>
        <v>28</v>
      </c>
      <c r="B28" s="31"/>
      <c r="C28" s="105">
        <v>3700</v>
      </c>
      <c r="D28" s="106">
        <f t="shared" si="20"/>
        <v>1609500</v>
      </c>
      <c r="E28" s="135">
        <f t="shared" si="7"/>
        <v>112295.42</v>
      </c>
      <c r="F28" s="135">
        <f t="shared" si="8"/>
        <v>194974.83</v>
      </c>
      <c r="G28" s="135">
        <f t="shared" si="25"/>
        <v>307270.25</v>
      </c>
      <c r="H28" s="136"/>
      <c r="I28" s="135">
        <f t="shared" si="9"/>
        <v>142087.26999999999</v>
      </c>
      <c r="J28" s="135">
        <f t="shared" si="10"/>
        <v>194974.83</v>
      </c>
      <c r="K28" s="135">
        <f t="shared" si="22"/>
        <v>337062.1</v>
      </c>
      <c r="L28" s="136"/>
      <c r="M28" s="135">
        <f t="shared" si="23"/>
        <v>29791.849999999977</v>
      </c>
      <c r="N28" s="137">
        <f t="shared" si="24"/>
        <v>9.6956506528048117E-2</v>
      </c>
      <c r="O28" s="135"/>
      <c r="P28" s="135">
        <f t="shared" si="12"/>
        <v>146835.29</v>
      </c>
      <c r="Q28" s="135">
        <f t="shared" si="13"/>
        <v>194974.83</v>
      </c>
      <c r="R28" s="135">
        <f t="shared" si="5"/>
        <v>341810.12</v>
      </c>
      <c r="S28" s="135"/>
      <c r="T28" s="135">
        <f t="shared" si="14"/>
        <v>4748.0200000000186</v>
      </c>
      <c r="U28" s="137">
        <f t="shared" si="15"/>
        <v>1.4086484360003747E-2</v>
      </c>
      <c r="V28" s="135"/>
      <c r="W28" s="135">
        <f t="shared" si="16"/>
        <v>146513.39000000001</v>
      </c>
      <c r="X28" s="135">
        <f t="shared" si="17"/>
        <v>194974.83</v>
      </c>
      <c r="Y28" s="135">
        <f t="shared" si="6"/>
        <v>341488.22</v>
      </c>
      <c r="Z28" s="37"/>
      <c r="AA28" s="135">
        <f t="shared" si="18"/>
        <v>-321.90000000002328</v>
      </c>
      <c r="AB28" s="137">
        <f t="shared" si="19"/>
        <v>-9.4175093470030466E-4</v>
      </c>
      <c r="AC28" s="37"/>
      <c r="AD28" s="37"/>
    </row>
    <row r="29" spans="1:30" x14ac:dyDescent="0.3">
      <c r="A29" s="1">
        <f t="shared" si="0"/>
        <v>29</v>
      </c>
      <c r="B29" s="31" t="s">
        <v>52</v>
      </c>
      <c r="C29" s="106">
        <v>1085</v>
      </c>
      <c r="D29" s="106">
        <f t="shared" si="20"/>
        <v>471975</v>
      </c>
      <c r="E29" s="135">
        <f t="shared" si="7"/>
        <v>32314.34</v>
      </c>
      <c r="F29" s="135">
        <f t="shared" si="8"/>
        <v>57175.05</v>
      </c>
      <c r="G29" s="135">
        <f t="shared" si="25"/>
        <v>89489.39</v>
      </c>
      <c r="H29" s="136"/>
      <c r="I29" s="135">
        <f t="shared" si="9"/>
        <v>41050.589999999997</v>
      </c>
      <c r="J29" s="135">
        <f t="shared" si="10"/>
        <v>57175.05</v>
      </c>
      <c r="K29" s="135">
        <f t="shared" si="22"/>
        <v>98225.64</v>
      </c>
      <c r="L29" s="136"/>
      <c r="M29" s="135">
        <f t="shared" si="23"/>
        <v>8736.25</v>
      </c>
      <c r="N29" s="137">
        <f t="shared" si="24"/>
        <v>9.7623304840942601E-2</v>
      </c>
      <c r="O29" s="135"/>
      <c r="P29" s="135">
        <f t="shared" si="12"/>
        <v>42442.92</v>
      </c>
      <c r="Q29" s="135">
        <f t="shared" si="13"/>
        <v>57175.05</v>
      </c>
      <c r="R29" s="135">
        <f t="shared" si="5"/>
        <v>99617.97</v>
      </c>
      <c r="S29" s="135"/>
      <c r="T29" s="135">
        <f t="shared" si="14"/>
        <v>1392.3300000000017</v>
      </c>
      <c r="U29" s="137">
        <f t="shared" si="15"/>
        <v>1.4174812197711328E-2</v>
      </c>
      <c r="V29" s="135"/>
      <c r="W29" s="135">
        <f t="shared" si="16"/>
        <v>42348.53</v>
      </c>
      <c r="X29" s="135">
        <f t="shared" si="17"/>
        <v>57175.05</v>
      </c>
      <c r="Y29" s="135">
        <f t="shared" si="6"/>
        <v>99523.58</v>
      </c>
      <c r="Z29" s="37"/>
      <c r="AA29" s="135">
        <f t="shared" si="18"/>
        <v>-94.389999999999418</v>
      </c>
      <c r="AB29" s="137">
        <f t="shared" si="19"/>
        <v>-9.4751980992986923E-4</v>
      </c>
      <c r="AC29" s="37"/>
      <c r="AD29" s="37"/>
    </row>
    <row r="30" spans="1:30" x14ac:dyDescent="0.3">
      <c r="A30" s="1">
        <f t="shared" si="0"/>
        <v>30</v>
      </c>
      <c r="B30" s="31"/>
      <c r="C30" s="158"/>
      <c r="D30" s="158"/>
      <c r="E30" s="135"/>
      <c r="F30" s="135"/>
      <c r="G30" s="153"/>
      <c r="H30" s="159"/>
      <c r="I30" s="135"/>
      <c r="J30" s="135"/>
      <c r="K30" s="159"/>
      <c r="L30" s="159"/>
      <c r="M30" s="159"/>
      <c r="N30" s="159"/>
      <c r="O30" s="159"/>
      <c r="P30" s="135"/>
      <c r="Q30" s="135"/>
      <c r="R30" s="135"/>
      <c r="S30" s="159"/>
      <c r="T30" s="135"/>
      <c r="U30" s="137"/>
      <c r="V30" s="159"/>
      <c r="W30" s="135"/>
      <c r="X30" s="135"/>
      <c r="Y30" s="135"/>
      <c r="Z30" s="37"/>
      <c r="AA30" s="135"/>
      <c r="AB30" s="137"/>
      <c r="AC30" s="188"/>
      <c r="AD30" s="37"/>
    </row>
    <row r="31" spans="1:30" x14ac:dyDescent="0.3">
      <c r="A31" s="1">
        <f t="shared" si="0"/>
        <v>31</v>
      </c>
      <c r="B31" s="31"/>
      <c r="C31" s="164" t="s">
        <v>126</v>
      </c>
      <c r="D31" s="104">
        <v>575</v>
      </c>
      <c r="E31" s="135"/>
      <c r="F31" s="135"/>
      <c r="G31" s="136"/>
      <c r="H31" s="136"/>
      <c r="I31" s="135"/>
      <c r="J31" s="135"/>
      <c r="K31" s="136"/>
      <c r="L31" s="136"/>
      <c r="M31" s="136"/>
      <c r="N31" s="136"/>
      <c r="O31" s="136"/>
      <c r="P31" s="135"/>
      <c r="Q31" s="135"/>
      <c r="R31" s="135"/>
      <c r="S31" s="136"/>
      <c r="T31" s="135"/>
      <c r="U31" s="137"/>
      <c r="V31" s="136"/>
      <c r="W31" s="135"/>
      <c r="X31" s="135"/>
      <c r="Y31" s="135"/>
      <c r="Z31" s="37"/>
      <c r="AA31" s="135"/>
      <c r="AB31" s="137"/>
      <c r="AC31" s="188"/>
      <c r="AD31" s="37"/>
    </row>
    <row r="32" spans="1:30" x14ac:dyDescent="0.3">
      <c r="A32" s="1">
        <f t="shared" si="0"/>
        <v>32</v>
      </c>
      <c r="B32" s="31"/>
      <c r="C32" s="105">
        <v>170</v>
      </c>
      <c r="D32" s="106">
        <f t="shared" ref="D32:D38" si="26">C32*$D$31</f>
        <v>97750</v>
      </c>
      <c r="E32" s="135">
        <f t="shared" si="7"/>
        <v>4549.95</v>
      </c>
      <c r="F32" s="135">
        <f t="shared" si="8"/>
        <v>11841.44</v>
      </c>
      <c r="G32" s="135">
        <f t="shared" ref="G32" si="27">SUM(E32:F32)</f>
        <v>16391.39</v>
      </c>
      <c r="H32" s="136"/>
      <c r="I32" s="135">
        <f t="shared" si="9"/>
        <v>6359.3</v>
      </c>
      <c r="J32" s="135">
        <f t="shared" si="10"/>
        <v>11841.44</v>
      </c>
      <c r="K32" s="135">
        <f t="shared" ref="K32:K38" si="28">SUM(I32:J32)</f>
        <v>18200.740000000002</v>
      </c>
      <c r="L32" s="136"/>
      <c r="M32" s="135">
        <f t="shared" ref="M32:M38" si="29">+K32-G32</f>
        <v>1809.3500000000022</v>
      </c>
      <c r="N32" s="137">
        <f t="shared" ref="N32:N38" si="30">+M32/G32</f>
        <v>0.11038417120207634</v>
      </c>
      <c r="O32" s="135"/>
      <c r="P32" s="135">
        <f t="shared" si="12"/>
        <v>6647.66</v>
      </c>
      <c r="Q32" s="135">
        <f t="shared" si="13"/>
        <v>11841.44</v>
      </c>
      <c r="R32" s="135">
        <f t="shared" si="5"/>
        <v>18489.099999999999</v>
      </c>
      <c r="S32" s="135"/>
      <c r="T32" s="135">
        <f t="shared" si="14"/>
        <v>288.35999999999694</v>
      </c>
      <c r="U32" s="137">
        <f t="shared" si="15"/>
        <v>1.5843311865341568E-2</v>
      </c>
      <c r="V32" s="135"/>
      <c r="W32" s="135">
        <f t="shared" si="16"/>
        <v>6628.11</v>
      </c>
      <c r="X32" s="135">
        <f t="shared" si="17"/>
        <v>11841.44</v>
      </c>
      <c r="Y32" s="135">
        <f t="shared" si="6"/>
        <v>18469.55</v>
      </c>
      <c r="Z32" s="37"/>
      <c r="AA32" s="135">
        <f t="shared" si="18"/>
        <v>-19.549999999999272</v>
      </c>
      <c r="AB32" s="137">
        <f t="shared" si="19"/>
        <v>-1.0573797534763332E-3</v>
      </c>
      <c r="AC32" s="17"/>
      <c r="AD32" s="37"/>
    </row>
    <row r="33" spans="1:30" x14ac:dyDescent="0.3">
      <c r="A33" s="1">
        <f t="shared" si="0"/>
        <v>33</v>
      </c>
      <c r="B33" s="31"/>
      <c r="C33" s="105">
        <v>410</v>
      </c>
      <c r="D33" s="106">
        <f t="shared" si="26"/>
        <v>235750</v>
      </c>
      <c r="E33" s="135">
        <f t="shared" si="7"/>
        <v>12202.95</v>
      </c>
      <c r="F33" s="135">
        <f t="shared" si="8"/>
        <v>28558.76</v>
      </c>
      <c r="G33" s="135">
        <f t="shared" ref="G33:G38" si="31">SUM(E33:F33)</f>
        <v>40761.71</v>
      </c>
      <c r="H33" s="136"/>
      <c r="I33" s="135">
        <f t="shared" si="9"/>
        <v>16566.68</v>
      </c>
      <c r="J33" s="135">
        <f t="shared" si="10"/>
        <v>28558.76</v>
      </c>
      <c r="K33" s="135">
        <f t="shared" si="28"/>
        <v>45125.440000000002</v>
      </c>
      <c r="L33" s="136"/>
      <c r="M33" s="135">
        <f t="shared" si="29"/>
        <v>4363.7300000000032</v>
      </c>
      <c r="N33" s="137">
        <f t="shared" si="30"/>
        <v>0.10705463534282549</v>
      </c>
      <c r="O33" s="135"/>
      <c r="P33" s="135">
        <f t="shared" si="12"/>
        <v>17262.14</v>
      </c>
      <c r="Q33" s="135">
        <f t="shared" si="13"/>
        <v>28558.76</v>
      </c>
      <c r="R33" s="135">
        <f t="shared" si="5"/>
        <v>45820.899999999994</v>
      </c>
      <c r="S33" s="135"/>
      <c r="T33" s="135">
        <f t="shared" si="14"/>
        <v>695.45999999999185</v>
      </c>
      <c r="U33" s="137">
        <f t="shared" si="15"/>
        <v>1.5411705680875173E-2</v>
      </c>
      <c r="V33" s="135"/>
      <c r="W33" s="135">
        <f t="shared" si="16"/>
        <v>17214.990000000002</v>
      </c>
      <c r="X33" s="135">
        <f t="shared" si="17"/>
        <v>28558.76</v>
      </c>
      <c r="Y33" s="135">
        <f t="shared" si="6"/>
        <v>45773.75</v>
      </c>
      <c r="Z33" s="37"/>
      <c r="AA33" s="135">
        <f t="shared" si="18"/>
        <v>-47.149999999994179</v>
      </c>
      <c r="AB33" s="137">
        <f t="shared" si="19"/>
        <v>-1.0290064141034807E-3</v>
      </c>
      <c r="AC33" s="17"/>
      <c r="AD33" s="37"/>
    </row>
    <row r="34" spans="1:30" x14ac:dyDescent="0.3">
      <c r="A34" s="1">
        <f t="shared" si="0"/>
        <v>34</v>
      </c>
      <c r="B34" s="31"/>
      <c r="C34" s="105">
        <v>575</v>
      </c>
      <c r="D34" s="106">
        <f t="shared" si="26"/>
        <v>330625</v>
      </c>
      <c r="E34" s="135">
        <f t="shared" si="7"/>
        <v>17464.38</v>
      </c>
      <c r="F34" s="135">
        <f t="shared" si="8"/>
        <v>40051.910000000003</v>
      </c>
      <c r="G34" s="135">
        <f t="shared" si="31"/>
        <v>57516.290000000008</v>
      </c>
      <c r="H34" s="136"/>
      <c r="I34" s="135">
        <f t="shared" si="9"/>
        <v>23584.25</v>
      </c>
      <c r="J34" s="135">
        <f t="shared" si="10"/>
        <v>40051.910000000003</v>
      </c>
      <c r="K34" s="135">
        <f t="shared" si="28"/>
        <v>63636.160000000003</v>
      </c>
      <c r="L34" s="136"/>
      <c r="M34" s="135">
        <f t="shared" si="29"/>
        <v>6119.8699999999953</v>
      </c>
      <c r="N34" s="137">
        <f t="shared" si="30"/>
        <v>0.10640237748297038</v>
      </c>
      <c r="O34" s="135"/>
      <c r="P34" s="135">
        <f t="shared" si="12"/>
        <v>24559.599999999999</v>
      </c>
      <c r="Q34" s="135">
        <f>ROUND($J$80*$D34,2)</f>
        <v>40051.910000000003</v>
      </c>
      <c r="R34" s="135">
        <f t="shared" si="5"/>
        <v>64611.51</v>
      </c>
      <c r="S34" s="135"/>
      <c r="T34" s="135">
        <f t="shared" si="14"/>
        <v>975.34999999999854</v>
      </c>
      <c r="U34" s="137">
        <f t="shared" si="15"/>
        <v>1.5326977617756924E-2</v>
      </c>
      <c r="V34" s="135"/>
      <c r="W34" s="135">
        <f t="shared" si="16"/>
        <v>24493.47</v>
      </c>
      <c r="X34" s="135">
        <f>ROUND($K$80*$D34,2)</f>
        <v>40051.910000000003</v>
      </c>
      <c r="Y34" s="135">
        <f t="shared" si="6"/>
        <v>64545.380000000005</v>
      </c>
      <c r="Z34" s="37"/>
      <c r="AA34" s="135">
        <f t="shared" si="18"/>
        <v>-66.129999999997381</v>
      </c>
      <c r="AB34" s="137">
        <f t="shared" si="19"/>
        <v>-1.023501849747783E-3</v>
      </c>
      <c r="AC34" s="17"/>
      <c r="AD34" s="37"/>
    </row>
    <row r="35" spans="1:30" x14ac:dyDescent="0.3">
      <c r="A35" s="1">
        <f t="shared" si="0"/>
        <v>35</v>
      </c>
      <c r="B35" s="31"/>
      <c r="C35" s="105">
        <v>740</v>
      </c>
      <c r="D35" s="106">
        <f t="shared" si="26"/>
        <v>425500</v>
      </c>
      <c r="E35" s="135">
        <f t="shared" si="7"/>
        <v>22725.82</v>
      </c>
      <c r="F35" s="135">
        <f>ROUND($G$80*$D35,2)</f>
        <v>51545.07</v>
      </c>
      <c r="G35" s="135">
        <f t="shared" si="31"/>
        <v>74270.89</v>
      </c>
      <c r="H35" s="136"/>
      <c r="I35" s="135">
        <f>ROUND($I$75+$I$76+$C35*$I$77+MAX($C35-100,0)*$I$78+$D35*$I$79,2)</f>
        <v>30601.83</v>
      </c>
      <c r="J35" s="135">
        <f t="shared" si="10"/>
        <v>51545.07</v>
      </c>
      <c r="K35" s="135">
        <f t="shared" si="28"/>
        <v>82146.899999999994</v>
      </c>
      <c r="L35" s="136"/>
      <c r="M35" s="135">
        <f t="shared" si="29"/>
        <v>7876.0099999999948</v>
      </c>
      <c r="N35" s="137">
        <f t="shared" si="30"/>
        <v>0.10604437350892112</v>
      </c>
      <c r="O35" s="135"/>
      <c r="P35" s="135">
        <f t="shared" si="12"/>
        <v>31857.05</v>
      </c>
      <c r="Q35" s="135">
        <f t="shared" si="13"/>
        <v>51545.07</v>
      </c>
      <c r="R35" s="135">
        <f t="shared" si="5"/>
        <v>83402.12</v>
      </c>
      <c r="S35" s="135"/>
      <c r="T35" s="135">
        <f t="shared" si="14"/>
        <v>1255.2200000000012</v>
      </c>
      <c r="U35" s="137">
        <f t="shared" si="15"/>
        <v>1.5280187079488102E-2</v>
      </c>
      <c r="V35" s="135"/>
      <c r="W35" s="135">
        <f>ROUND($K$75+$K$76+$C35*$K$77+MAX($C35-100,0)*$K$78+$D35*$K$79,2)</f>
        <v>31771.95</v>
      </c>
      <c r="X35" s="135">
        <f t="shared" si="17"/>
        <v>51545.07</v>
      </c>
      <c r="Y35" s="135">
        <f t="shared" si="6"/>
        <v>83317.02</v>
      </c>
      <c r="Z35" s="37"/>
      <c r="AA35" s="135">
        <f t="shared" si="18"/>
        <v>-85.099999999991269</v>
      </c>
      <c r="AB35" s="137">
        <f t="shared" si="19"/>
        <v>-1.0203577558938702E-3</v>
      </c>
      <c r="AC35" s="17"/>
      <c r="AD35" s="37"/>
    </row>
    <row r="36" spans="1:30" x14ac:dyDescent="0.3">
      <c r="A36" s="1">
        <f t="shared" si="0"/>
        <v>36</v>
      </c>
      <c r="B36" s="31"/>
      <c r="C36" s="106">
        <v>1100</v>
      </c>
      <c r="D36" s="106">
        <f t="shared" si="26"/>
        <v>632500</v>
      </c>
      <c r="E36" s="135">
        <f>ROUND($G$75+$G$76+$C36*$G$77+MAX($C36-100,0)*$G$78+$D36*$G$79,2)</f>
        <v>34205.32</v>
      </c>
      <c r="F36" s="135">
        <f t="shared" si="8"/>
        <v>76621.05</v>
      </c>
      <c r="G36" s="135">
        <f t="shared" si="31"/>
        <v>110826.37</v>
      </c>
      <c r="H36" s="136"/>
      <c r="I36" s="135">
        <f t="shared" si="9"/>
        <v>45912.9</v>
      </c>
      <c r="J36" s="135">
        <f>ROUND($I$80*$D36,2)</f>
        <v>76621.05</v>
      </c>
      <c r="K36" s="135">
        <f t="shared" si="28"/>
        <v>122533.95000000001</v>
      </c>
      <c r="L36" s="136"/>
      <c r="M36" s="135">
        <f t="shared" si="29"/>
        <v>11707.580000000016</v>
      </c>
      <c r="N36" s="137">
        <f t="shared" si="30"/>
        <v>0.10563893773656953</v>
      </c>
      <c r="O36" s="135"/>
      <c r="P36" s="135">
        <f>ROUND($J$75+$J$76+$C36*$J$77+MAX($C36-100,0)*$J$78+$D36*$J$79,2)</f>
        <v>47778.77</v>
      </c>
      <c r="Q36" s="135">
        <f t="shared" si="13"/>
        <v>76621.05</v>
      </c>
      <c r="R36" s="135">
        <f t="shared" si="5"/>
        <v>124399.82</v>
      </c>
      <c r="S36" s="135"/>
      <c r="T36" s="135">
        <f t="shared" si="14"/>
        <v>1865.8699999999953</v>
      </c>
      <c r="U36" s="137">
        <f t="shared" si="15"/>
        <v>1.5227371679440637E-2</v>
      </c>
      <c r="V36" s="135"/>
      <c r="W36" s="135">
        <f t="shared" si="16"/>
        <v>47652.27</v>
      </c>
      <c r="X36" s="135">
        <f t="shared" si="17"/>
        <v>76621.05</v>
      </c>
      <c r="Y36" s="135">
        <f t="shared" si="6"/>
        <v>124273.32</v>
      </c>
      <c r="Z36" s="37"/>
      <c r="AA36" s="135">
        <f t="shared" si="18"/>
        <v>-126.5</v>
      </c>
      <c r="AB36" s="137">
        <f t="shared" si="19"/>
        <v>-1.0168825003122994E-3</v>
      </c>
      <c r="AC36" s="17"/>
      <c r="AD36" s="37"/>
    </row>
    <row r="37" spans="1:30" x14ac:dyDescent="0.3">
      <c r="A37" s="1">
        <f t="shared" si="0"/>
        <v>37</v>
      </c>
      <c r="B37" s="31"/>
      <c r="C37" s="105">
        <v>2300</v>
      </c>
      <c r="D37" s="106">
        <f t="shared" si="26"/>
        <v>1322500</v>
      </c>
      <c r="E37" s="135">
        <f t="shared" si="7"/>
        <v>72470.320000000007</v>
      </c>
      <c r="F37" s="135">
        <f t="shared" si="8"/>
        <v>160207.65</v>
      </c>
      <c r="G37" s="135">
        <f t="shared" si="31"/>
        <v>232677.97</v>
      </c>
      <c r="H37" s="136"/>
      <c r="I37" s="135">
        <f t="shared" si="9"/>
        <v>96949.8</v>
      </c>
      <c r="J37" s="135">
        <f t="shared" si="10"/>
        <v>160207.65</v>
      </c>
      <c r="K37" s="135">
        <f t="shared" si="28"/>
        <v>257157.45</v>
      </c>
      <c r="L37" s="136"/>
      <c r="M37" s="135">
        <f t="shared" si="29"/>
        <v>24479.48000000001</v>
      </c>
      <c r="N37" s="137">
        <f t="shared" si="30"/>
        <v>0.10520755359864971</v>
      </c>
      <c r="O37" s="135"/>
      <c r="P37" s="135">
        <f t="shared" si="12"/>
        <v>100851.17</v>
      </c>
      <c r="Q37" s="135">
        <f t="shared" si="13"/>
        <v>160207.65</v>
      </c>
      <c r="R37" s="135">
        <f t="shared" si="5"/>
        <v>261058.82</v>
      </c>
      <c r="S37" s="135"/>
      <c r="T37" s="135">
        <f t="shared" si="14"/>
        <v>3901.3699999999953</v>
      </c>
      <c r="U37" s="137">
        <f t="shared" si="15"/>
        <v>1.5171133482619286E-2</v>
      </c>
      <c r="V37" s="135"/>
      <c r="W37" s="135">
        <f t="shared" si="16"/>
        <v>100586.67</v>
      </c>
      <c r="X37" s="135">
        <f t="shared" si="17"/>
        <v>160207.65</v>
      </c>
      <c r="Y37" s="135">
        <f t="shared" si="6"/>
        <v>260794.32</v>
      </c>
      <c r="Z37" s="37"/>
      <c r="AA37" s="135">
        <f t="shared" si="18"/>
        <v>-264.5</v>
      </c>
      <c r="AB37" s="137">
        <f t="shared" si="19"/>
        <v>-1.0131816270371559E-3</v>
      </c>
      <c r="AC37" s="17"/>
      <c r="AD37" s="37"/>
    </row>
    <row r="38" spans="1:30" x14ac:dyDescent="0.3">
      <c r="A38" s="1">
        <f t="shared" si="0"/>
        <v>38</v>
      </c>
      <c r="B38" s="31" t="s">
        <v>52</v>
      </c>
      <c r="C38" s="106">
        <v>880</v>
      </c>
      <c r="D38" s="106">
        <f t="shared" si="26"/>
        <v>506000</v>
      </c>
      <c r="E38" s="135">
        <f t="shared" si="7"/>
        <v>27190.07</v>
      </c>
      <c r="F38" s="135">
        <f t="shared" si="8"/>
        <v>61296.84</v>
      </c>
      <c r="G38" s="135">
        <f t="shared" si="31"/>
        <v>88486.91</v>
      </c>
      <c r="H38" s="136"/>
      <c r="I38" s="135">
        <f t="shared" si="9"/>
        <v>36556.129999999997</v>
      </c>
      <c r="J38" s="135">
        <f t="shared" si="10"/>
        <v>61296.84</v>
      </c>
      <c r="K38" s="135">
        <f t="shared" si="28"/>
        <v>97852.97</v>
      </c>
      <c r="L38" s="136"/>
      <c r="M38" s="135">
        <f t="shared" si="29"/>
        <v>9366.0599999999977</v>
      </c>
      <c r="N38" s="137">
        <f t="shared" si="30"/>
        <v>0.10584684220524818</v>
      </c>
      <c r="O38" s="135"/>
      <c r="P38" s="135">
        <f t="shared" si="12"/>
        <v>38048.83</v>
      </c>
      <c r="Q38" s="135">
        <f t="shared" si="13"/>
        <v>61296.84</v>
      </c>
      <c r="R38" s="135">
        <f t="shared" si="5"/>
        <v>99345.67</v>
      </c>
      <c r="S38" s="135"/>
      <c r="T38" s="135">
        <f t="shared" si="14"/>
        <v>1492.6999999999971</v>
      </c>
      <c r="U38" s="137">
        <f t="shared" si="15"/>
        <v>1.5254519101464137E-2</v>
      </c>
      <c r="V38" s="135"/>
      <c r="W38" s="135">
        <f t="shared" si="16"/>
        <v>37947.629999999997</v>
      </c>
      <c r="X38" s="135">
        <f t="shared" si="17"/>
        <v>61296.84</v>
      </c>
      <c r="Y38" s="135">
        <f t="shared" si="6"/>
        <v>99244.47</v>
      </c>
      <c r="Z38" s="37"/>
      <c r="AA38" s="135">
        <f>+Y38-R38</f>
        <v>-101.19999999999709</v>
      </c>
      <c r="AB38" s="137">
        <f>+AA38/R38</f>
        <v>-1.0186654335311955E-3</v>
      </c>
      <c r="AC38" s="17"/>
      <c r="AD38" s="37"/>
    </row>
    <row r="39" spans="1:30" ht="14.15" customHeight="1" x14ac:dyDescent="0.3">
      <c r="A39" s="1">
        <f t="shared" si="0"/>
        <v>39</v>
      </c>
      <c r="B39" s="31"/>
      <c r="C39" s="130"/>
      <c r="D39" s="152"/>
      <c r="E39" s="153"/>
      <c r="F39" s="153"/>
      <c r="G39" s="153"/>
      <c r="H39" s="159"/>
      <c r="I39" s="153"/>
      <c r="J39" s="153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Y39" s="37"/>
      <c r="Z39" s="37"/>
      <c r="AA39" s="37"/>
      <c r="AB39" s="37"/>
      <c r="AC39" s="188"/>
      <c r="AD39" s="37"/>
    </row>
    <row r="40" spans="1:30" x14ac:dyDescent="0.3">
      <c r="A40" s="1">
        <f t="shared" si="0"/>
        <v>40</v>
      </c>
      <c r="B40" s="31"/>
      <c r="C40" s="130"/>
      <c r="D40" s="152"/>
      <c r="E40" s="153"/>
      <c r="F40" s="153"/>
      <c r="G40" s="153"/>
      <c r="H40" s="159"/>
      <c r="I40" s="153"/>
      <c r="J40" s="153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Y40" s="37"/>
      <c r="Z40" s="37"/>
      <c r="AA40" s="37"/>
      <c r="AB40" s="37"/>
      <c r="AD40" s="37"/>
    </row>
    <row r="41" spans="1:30" ht="14.15" customHeight="1" x14ac:dyDescent="0.3">
      <c r="A41" s="1">
        <f t="shared" si="0"/>
        <v>41</v>
      </c>
      <c r="B41" s="31"/>
      <c r="C41" s="44" t="s">
        <v>53</v>
      </c>
      <c r="D41" s="44"/>
      <c r="E41" s="136"/>
      <c r="F41" s="136"/>
      <c r="G41" s="45">
        <f>'EMA R1'!H28</f>
        <v>2024</v>
      </c>
      <c r="I41" s="45">
        <f>'EMA R1'!I28</f>
        <v>2025</v>
      </c>
      <c r="J41" s="45">
        <f>'EMA R1'!J28</f>
        <v>2026</v>
      </c>
      <c r="K41" s="45">
        <f>'EMA R1'!L28</f>
        <v>2027</v>
      </c>
      <c r="M41" s="45" t="str">
        <f>'EMA R1'!M28</f>
        <v>2025 v 2024</v>
      </c>
      <c r="N41" s="45" t="str">
        <f>'EMA R1'!O28</f>
        <v>2026 v 2025</v>
      </c>
      <c r="P41" s="45" t="str">
        <f>'EMA R1'!P28</f>
        <v>2027 v 2026</v>
      </c>
      <c r="Q41" s="136"/>
      <c r="R41" s="136"/>
      <c r="S41" s="136"/>
      <c r="T41" s="136"/>
      <c r="U41" s="136"/>
      <c r="V41" s="136"/>
      <c r="Y41" s="37"/>
      <c r="Z41" s="37"/>
      <c r="AA41" s="37"/>
      <c r="AB41" s="37"/>
      <c r="AD41" s="37"/>
    </row>
    <row r="42" spans="1:30" ht="17.149999999999999" customHeight="1" x14ac:dyDescent="0.3">
      <c r="A42" s="1">
        <f t="shared" si="0"/>
        <v>42</v>
      </c>
      <c r="B42" s="31"/>
      <c r="C42" s="23" t="s">
        <v>53</v>
      </c>
      <c r="D42" s="23"/>
      <c r="E42" s="136"/>
      <c r="F42" s="136"/>
      <c r="G42" s="47" t="s">
        <v>57</v>
      </c>
      <c r="I42" s="47" t="s">
        <v>57</v>
      </c>
      <c r="J42" s="47" t="s">
        <v>57</v>
      </c>
      <c r="K42" s="47" t="s">
        <v>57</v>
      </c>
      <c r="L42" s="37"/>
      <c r="M42" s="48" t="s">
        <v>51</v>
      </c>
      <c r="N42" s="48" t="s">
        <v>51</v>
      </c>
      <c r="O42" s="22"/>
      <c r="P42" s="48" t="s">
        <v>51</v>
      </c>
      <c r="Q42" s="136"/>
      <c r="R42" s="136"/>
      <c r="S42" s="136"/>
      <c r="T42" s="136"/>
      <c r="U42" s="136"/>
      <c r="V42" s="136"/>
    </row>
    <row r="43" spans="1:30" x14ac:dyDescent="0.3">
      <c r="A43" s="1">
        <f t="shared" si="0"/>
        <v>43</v>
      </c>
      <c r="B43" s="31"/>
      <c r="C43" s="44" t="s">
        <v>58</v>
      </c>
      <c r="D43" s="44"/>
      <c r="E43" s="86"/>
      <c r="F43" s="136"/>
      <c r="G43" s="88">
        <v>370</v>
      </c>
      <c r="H43" s="88"/>
      <c r="I43" s="88">
        <f>G43</f>
        <v>370</v>
      </c>
      <c r="J43" s="88">
        <f>G43</f>
        <v>370</v>
      </c>
      <c r="K43" s="88">
        <f>G43</f>
        <v>370</v>
      </c>
      <c r="L43" s="88"/>
      <c r="M43" s="50">
        <f>+I43-G43</f>
        <v>0</v>
      </c>
      <c r="N43" s="50">
        <f>+J43-I43</f>
        <v>0</v>
      </c>
      <c r="O43" s="50"/>
      <c r="P43" s="50">
        <f>+K43-J43</f>
        <v>0</v>
      </c>
      <c r="Q43" s="89" t="s">
        <v>59</v>
      </c>
      <c r="R43" s="136"/>
      <c r="S43" s="136"/>
      <c r="T43" s="136"/>
      <c r="U43" s="136"/>
      <c r="V43" s="136"/>
    </row>
    <row r="44" spans="1:30" x14ac:dyDescent="0.3">
      <c r="A44" s="1">
        <f t="shared" si="0"/>
        <v>44</v>
      </c>
      <c r="B44" s="31"/>
      <c r="C44" s="44" t="s">
        <v>146</v>
      </c>
      <c r="D44" s="44"/>
      <c r="E44" s="86"/>
      <c r="F44" s="136"/>
      <c r="G44" s="88">
        <v>6.49</v>
      </c>
      <c r="H44" s="88"/>
      <c r="I44" s="88">
        <f>G44</f>
        <v>6.49</v>
      </c>
      <c r="J44" s="88">
        <f t="shared" ref="J44:J72" si="32">G44</f>
        <v>6.49</v>
      </c>
      <c r="K44" s="88">
        <f t="shared" ref="K44:K72" si="33">G44</f>
        <v>6.49</v>
      </c>
      <c r="M44" s="50">
        <f t="shared" ref="M44:M72" si="34">+I44-G44</f>
        <v>0</v>
      </c>
      <c r="N44" s="50">
        <f t="shared" ref="N44:N72" si="35">+J44-I44</f>
        <v>0</v>
      </c>
      <c r="O44" s="50"/>
      <c r="P44" s="50">
        <f t="shared" ref="P44:P72" si="36">+K44-J44</f>
        <v>0</v>
      </c>
      <c r="Q44" s="89" t="s">
        <v>59</v>
      </c>
      <c r="R44" s="136"/>
      <c r="S44" s="136"/>
      <c r="T44" s="136"/>
      <c r="U44" s="136"/>
      <c r="V44" s="136"/>
    </row>
    <row r="45" spans="1:30" x14ac:dyDescent="0.3">
      <c r="A45" s="1">
        <f t="shared" si="0"/>
        <v>45</v>
      </c>
      <c r="B45" s="31"/>
      <c r="C45" s="44" t="s">
        <v>60</v>
      </c>
      <c r="D45" s="44"/>
      <c r="E45" s="86"/>
      <c r="F45" s="136"/>
      <c r="G45" s="91">
        <v>1.16E-3</v>
      </c>
      <c r="H45" s="91"/>
      <c r="I45" s="91">
        <f>G45</f>
        <v>1.16E-3</v>
      </c>
      <c r="J45" s="91">
        <f t="shared" si="32"/>
        <v>1.16E-3</v>
      </c>
      <c r="K45" s="91">
        <f t="shared" si="33"/>
        <v>1.16E-3</v>
      </c>
      <c r="M45" s="54">
        <f t="shared" si="34"/>
        <v>0</v>
      </c>
      <c r="N45" s="54">
        <f t="shared" si="35"/>
        <v>0</v>
      </c>
      <c r="O45" s="54"/>
      <c r="P45" s="54">
        <f t="shared" si="36"/>
        <v>0</v>
      </c>
      <c r="Q45" s="89" t="s">
        <v>59</v>
      </c>
      <c r="R45" s="136"/>
      <c r="S45" s="136"/>
      <c r="T45" s="136"/>
      <c r="U45" s="136"/>
      <c r="V45" s="136"/>
    </row>
    <row r="46" spans="1:30" x14ac:dyDescent="0.3">
      <c r="A46" s="1">
        <f t="shared" si="0"/>
        <v>46</v>
      </c>
      <c r="B46" s="31"/>
      <c r="C46" s="44" t="str">
        <f>+'BOS G3 NEMA'!C56</f>
        <v>Exogenous Cost Adjustment</v>
      </c>
      <c r="D46" s="44"/>
      <c r="E46" s="86"/>
      <c r="F46" s="136"/>
      <c r="G46" s="91">
        <v>3.3E-4</v>
      </c>
      <c r="H46" s="91"/>
      <c r="I46" s="91">
        <f t="shared" ref="I46:I72" si="37">G46</f>
        <v>3.3E-4</v>
      </c>
      <c r="J46" s="91">
        <f t="shared" si="32"/>
        <v>3.3E-4</v>
      </c>
      <c r="K46" s="91">
        <f t="shared" si="33"/>
        <v>3.3E-4</v>
      </c>
      <c r="M46" s="54">
        <f t="shared" si="34"/>
        <v>0</v>
      </c>
      <c r="N46" s="54">
        <f t="shared" si="35"/>
        <v>0</v>
      </c>
      <c r="O46" s="54"/>
      <c r="P46" s="54">
        <f t="shared" si="36"/>
        <v>0</v>
      </c>
      <c r="Q46" s="89" t="str">
        <f>+'BOS G3 NEMA'!Q56</f>
        <v>ECA</v>
      </c>
      <c r="R46" s="136"/>
      <c r="S46" s="136"/>
      <c r="T46" s="136"/>
      <c r="U46" s="136"/>
      <c r="V46" s="136"/>
    </row>
    <row r="47" spans="1:30" x14ac:dyDescent="0.3">
      <c r="A47" s="1">
        <f t="shared" si="0"/>
        <v>47</v>
      </c>
      <c r="B47" s="31"/>
      <c r="C47" s="44" t="str">
        <f>+'BOS G3 NEMA'!C57</f>
        <v>Revenue Decoupling</v>
      </c>
      <c r="D47" s="44"/>
      <c r="E47" s="86"/>
      <c r="F47" s="136"/>
      <c r="G47" s="91">
        <v>2.0000000000000002E-5</v>
      </c>
      <c r="H47" s="91"/>
      <c r="I47" s="91">
        <f t="shared" si="37"/>
        <v>2.0000000000000002E-5</v>
      </c>
      <c r="J47" s="91">
        <f t="shared" si="32"/>
        <v>2.0000000000000002E-5</v>
      </c>
      <c r="K47" s="91">
        <f t="shared" si="33"/>
        <v>2.0000000000000002E-5</v>
      </c>
      <c r="L47" s="37"/>
      <c r="M47" s="54">
        <f t="shared" si="34"/>
        <v>0</v>
      </c>
      <c r="N47" s="54">
        <f t="shared" si="35"/>
        <v>0</v>
      </c>
      <c r="O47" s="54"/>
      <c r="P47" s="54">
        <f t="shared" si="36"/>
        <v>0</v>
      </c>
      <c r="Q47" s="89" t="str">
        <f>+'BOS G3 NEMA'!Q57</f>
        <v>RDAF</v>
      </c>
      <c r="R47" s="136"/>
      <c r="S47" s="136"/>
      <c r="T47" s="136"/>
      <c r="U47" s="136"/>
      <c r="V47" s="136"/>
    </row>
    <row r="48" spans="1:30" x14ac:dyDescent="0.3">
      <c r="A48" s="1">
        <f t="shared" si="0"/>
        <v>48</v>
      </c>
      <c r="B48" s="31"/>
      <c r="C48" s="44" t="str">
        <f>+'BOS G3 NEMA'!C58</f>
        <v>Distributed Solar Charge</v>
      </c>
      <c r="D48" s="37"/>
      <c r="E48" s="37"/>
      <c r="F48" s="53"/>
      <c r="G48" s="91">
        <v>2.66E-3</v>
      </c>
      <c r="H48" s="91"/>
      <c r="I48" s="91">
        <f t="shared" si="37"/>
        <v>2.66E-3</v>
      </c>
      <c r="J48" s="91">
        <f t="shared" si="32"/>
        <v>2.66E-3</v>
      </c>
      <c r="K48" s="91">
        <f t="shared" si="33"/>
        <v>2.66E-3</v>
      </c>
      <c r="M48" s="54">
        <f t="shared" si="34"/>
        <v>0</v>
      </c>
      <c r="N48" s="54">
        <f t="shared" si="35"/>
        <v>0</v>
      </c>
      <c r="O48" s="54"/>
      <c r="P48" s="54">
        <f t="shared" si="36"/>
        <v>0</v>
      </c>
      <c r="Q48" s="89" t="str">
        <f>+'BOS G3 NEMA'!Q58</f>
        <v>SMART</v>
      </c>
    </row>
    <row r="49" spans="1:22" x14ac:dyDescent="0.3">
      <c r="A49" s="1">
        <f t="shared" si="0"/>
        <v>49</v>
      </c>
      <c r="B49" s="31"/>
      <c r="C49" s="44" t="str">
        <f>+'BOS G3 NEMA'!C59</f>
        <v>Residential Assistance Adjustment Factor</v>
      </c>
      <c r="D49" s="44"/>
      <c r="E49" s="86"/>
      <c r="F49" s="136"/>
      <c r="G49" s="53">
        <v>2.7200000000000002E-3</v>
      </c>
      <c r="H49" s="91"/>
      <c r="I49" s="91">
        <f t="shared" si="37"/>
        <v>2.7200000000000002E-3</v>
      </c>
      <c r="J49" s="53">
        <f t="shared" si="32"/>
        <v>2.7200000000000002E-3</v>
      </c>
      <c r="K49" s="53">
        <f t="shared" si="33"/>
        <v>2.7200000000000002E-3</v>
      </c>
      <c r="M49" s="54">
        <f t="shared" si="34"/>
        <v>0</v>
      </c>
      <c r="N49" s="54">
        <f t="shared" si="35"/>
        <v>0</v>
      </c>
      <c r="O49" s="54"/>
      <c r="P49" s="54">
        <f t="shared" si="36"/>
        <v>0</v>
      </c>
      <c r="Q49" s="89" t="str">
        <f>+'BOS G3 NEMA'!Q59</f>
        <v>RAAF</v>
      </c>
      <c r="R49" s="136"/>
      <c r="S49" s="136"/>
      <c r="T49" s="136"/>
      <c r="U49" s="136"/>
      <c r="V49" s="136"/>
    </row>
    <row r="50" spans="1:22" x14ac:dyDescent="0.3">
      <c r="A50" s="1">
        <f t="shared" si="0"/>
        <v>50</v>
      </c>
      <c r="B50" s="31"/>
      <c r="C50" s="44" t="str">
        <f>+'BOS G3 NEMA'!C60</f>
        <v>Pension Adjustment Factor</v>
      </c>
      <c r="D50" s="44"/>
      <c r="E50" s="86"/>
      <c r="F50" s="136"/>
      <c r="G50" s="53">
        <v>2.7E-4</v>
      </c>
      <c r="H50" s="92"/>
      <c r="I50" s="91">
        <f t="shared" si="37"/>
        <v>2.7E-4</v>
      </c>
      <c r="J50" s="53">
        <f t="shared" si="32"/>
        <v>2.7E-4</v>
      </c>
      <c r="K50" s="53">
        <f t="shared" si="33"/>
        <v>2.7E-4</v>
      </c>
      <c r="M50" s="54">
        <f t="shared" si="34"/>
        <v>0</v>
      </c>
      <c r="N50" s="54">
        <f t="shared" si="35"/>
        <v>0</v>
      </c>
      <c r="O50" s="54"/>
      <c r="P50" s="54">
        <f t="shared" si="36"/>
        <v>0</v>
      </c>
      <c r="Q50" s="89" t="str">
        <f>+'BOS G3 NEMA'!Q60</f>
        <v>PAF</v>
      </c>
      <c r="R50" s="136"/>
      <c r="S50" s="136"/>
      <c r="T50" s="136"/>
      <c r="U50" s="136"/>
      <c r="V50" s="136"/>
    </row>
    <row r="51" spans="1:22" x14ac:dyDescent="0.3">
      <c r="A51" s="1">
        <f t="shared" si="0"/>
        <v>51</v>
      </c>
      <c r="B51" s="31"/>
      <c r="C51" s="44" t="str">
        <f>+'BOS G3 NEMA'!C61</f>
        <v>Net Metering Recovery Surcharge</v>
      </c>
      <c r="D51" s="44"/>
      <c r="E51" s="86"/>
      <c r="F51" s="136"/>
      <c r="G51" s="91">
        <v>5.4000000000000003E-3</v>
      </c>
      <c r="H51" s="92"/>
      <c r="I51" s="91">
        <f t="shared" si="37"/>
        <v>5.4000000000000003E-3</v>
      </c>
      <c r="J51" s="91">
        <f t="shared" si="32"/>
        <v>5.4000000000000003E-3</v>
      </c>
      <c r="K51" s="91">
        <f t="shared" si="33"/>
        <v>5.4000000000000003E-3</v>
      </c>
      <c r="M51" s="54">
        <f t="shared" si="34"/>
        <v>0</v>
      </c>
      <c r="N51" s="54">
        <f t="shared" si="35"/>
        <v>0</v>
      </c>
      <c r="O51" s="54"/>
      <c r="P51" s="54">
        <f t="shared" si="36"/>
        <v>0</v>
      </c>
      <c r="Q51" s="89" t="str">
        <f>+'BOS G3 NEMA'!Q61</f>
        <v>NMRS</v>
      </c>
      <c r="R51" s="136"/>
      <c r="S51" s="136"/>
      <c r="T51" s="136"/>
      <c r="U51" s="136"/>
      <c r="V51" s="136"/>
    </row>
    <row r="52" spans="1:22" x14ac:dyDescent="0.3">
      <c r="A52" s="1">
        <f t="shared" si="0"/>
        <v>52</v>
      </c>
      <c r="B52" s="31"/>
      <c r="C52" s="44" t="str">
        <f>+'BOS G3 NEMA'!C62</f>
        <v>Long Term Renewable Contract Adjustment</v>
      </c>
      <c r="D52" s="44"/>
      <c r="E52" s="86"/>
      <c r="F52" s="136"/>
      <c r="G52" s="53">
        <v>-1.9300000000000001E-3</v>
      </c>
      <c r="H52" s="92"/>
      <c r="I52" s="91">
        <f t="shared" si="37"/>
        <v>-1.9300000000000001E-3</v>
      </c>
      <c r="J52" s="53">
        <f t="shared" si="32"/>
        <v>-1.9300000000000001E-3</v>
      </c>
      <c r="K52" s="53">
        <f t="shared" si="33"/>
        <v>-1.9300000000000001E-3</v>
      </c>
      <c r="M52" s="54">
        <f t="shared" si="34"/>
        <v>0</v>
      </c>
      <c r="N52" s="54">
        <f t="shared" si="35"/>
        <v>0</v>
      </c>
      <c r="O52" s="54"/>
      <c r="P52" s="54">
        <f t="shared" si="36"/>
        <v>0</v>
      </c>
      <c r="Q52" s="89" t="str">
        <f>+'BOS G3 NEMA'!Q62</f>
        <v>LTRCA</v>
      </c>
      <c r="R52" s="136"/>
      <c r="S52" s="136"/>
      <c r="T52" s="136"/>
      <c r="U52" s="136"/>
      <c r="V52" s="136"/>
    </row>
    <row r="53" spans="1:22" x14ac:dyDescent="0.3">
      <c r="A53" s="1">
        <f t="shared" si="0"/>
        <v>53</v>
      </c>
      <c r="B53" s="31"/>
      <c r="C53" s="44" t="str">
        <f>+'BOS G3 NEMA'!C63</f>
        <v>AG Consulting Expense</v>
      </c>
      <c r="D53" s="44"/>
      <c r="E53" s="86"/>
      <c r="F53" s="136"/>
      <c r="G53" s="53">
        <v>1.0000000000000001E-5</v>
      </c>
      <c r="H53" s="92"/>
      <c r="I53" s="91">
        <f t="shared" si="37"/>
        <v>1.0000000000000001E-5</v>
      </c>
      <c r="J53" s="53">
        <f t="shared" si="32"/>
        <v>1.0000000000000001E-5</v>
      </c>
      <c r="K53" s="53">
        <f t="shared" si="33"/>
        <v>1.0000000000000001E-5</v>
      </c>
      <c r="M53" s="54">
        <f t="shared" si="34"/>
        <v>0</v>
      </c>
      <c r="N53" s="54">
        <f t="shared" si="35"/>
        <v>0</v>
      </c>
      <c r="O53" s="54"/>
      <c r="P53" s="54">
        <f t="shared" si="36"/>
        <v>0</v>
      </c>
      <c r="Q53" s="89" t="str">
        <f>+'BOS G3 NEMA'!Q63</f>
        <v>AGCE</v>
      </c>
      <c r="R53" s="136"/>
      <c r="S53" s="136"/>
      <c r="T53" s="136"/>
      <c r="U53" s="136"/>
      <c r="V53" s="136"/>
    </row>
    <row r="54" spans="1:22" x14ac:dyDescent="0.3">
      <c r="A54" s="1">
        <f t="shared" si="0"/>
        <v>54</v>
      </c>
      <c r="B54" s="31"/>
      <c r="C54" s="44" t="str">
        <f>+'BOS G3 NEMA'!C64</f>
        <v>Storm Cost Recovery Adjustment Factor</v>
      </c>
      <c r="D54" s="44"/>
      <c r="E54" s="86"/>
      <c r="F54" s="136"/>
      <c r="G54" s="53">
        <v>2.2100000000000002E-3</v>
      </c>
      <c r="H54" s="92"/>
      <c r="I54" s="91">
        <f t="shared" si="37"/>
        <v>2.2100000000000002E-3</v>
      </c>
      <c r="J54" s="53">
        <f t="shared" si="32"/>
        <v>2.2100000000000002E-3</v>
      </c>
      <c r="K54" s="53">
        <f t="shared" si="33"/>
        <v>2.2100000000000002E-3</v>
      </c>
      <c r="M54" s="54">
        <f t="shared" si="34"/>
        <v>0</v>
      </c>
      <c r="N54" s="54">
        <f t="shared" si="35"/>
        <v>0</v>
      </c>
      <c r="O54" s="54"/>
      <c r="P54" s="54">
        <f t="shared" si="36"/>
        <v>0</v>
      </c>
      <c r="Q54" s="89" t="str">
        <f>+'BOS G3 NEMA'!Q64</f>
        <v>SCRA</v>
      </c>
      <c r="R54" s="136"/>
      <c r="S54" s="136"/>
      <c r="T54" s="136"/>
      <c r="U54" s="136"/>
      <c r="V54" s="136"/>
    </row>
    <row r="55" spans="1:22" x14ac:dyDescent="0.3">
      <c r="A55" s="1">
        <f t="shared" si="0"/>
        <v>55</v>
      </c>
      <c r="B55" s="31"/>
      <c r="C55" s="44" t="str">
        <f>+'BOS G3 NEMA'!C65</f>
        <v>Storm Reserve Adjustment</v>
      </c>
      <c r="D55" s="44"/>
      <c r="E55" s="86"/>
      <c r="F55" s="136"/>
      <c r="G55" s="53">
        <v>0</v>
      </c>
      <c r="H55" s="92"/>
      <c r="I55" s="91">
        <f t="shared" si="37"/>
        <v>0</v>
      </c>
      <c r="J55" s="53">
        <f t="shared" si="32"/>
        <v>0</v>
      </c>
      <c r="K55" s="53">
        <f t="shared" si="33"/>
        <v>0</v>
      </c>
      <c r="M55" s="54">
        <f t="shared" si="34"/>
        <v>0</v>
      </c>
      <c r="N55" s="54">
        <f t="shared" si="35"/>
        <v>0</v>
      </c>
      <c r="O55" s="54"/>
      <c r="P55" s="54">
        <f t="shared" si="36"/>
        <v>0</v>
      </c>
      <c r="Q55" s="89" t="str">
        <f>+'BOS G3 NEMA'!Q65</f>
        <v>SRA</v>
      </c>
      <c r="R55" s="136"/>
      <c r="S55" s="136"/>
      <c r="T55" s="136"/>
      <c r="U55" s="136"/>
      <c r="V55" s="136"/>
    </row>
    <row r="56" spans="1:22" x14ac:dyDescent="0.3">
      <c r="A56" s="1">
        <f t="shared" si="0"/>
        <v>56</v>
      </c>
      <c r="B56" s="31"/>
      <c r="C56" s="44" t="str">
        <f>+'BOS G3 NEMA'!C66</f>
        <v>Basic Service Cost True Up Factor</v>
      </c>
      <c r="D56" s="44"/>
      <c r="E56" s="86"/>
      <c r="F56" s="136"/>
      <c r="G56" s="53">
        <v>-1.4999999999999999E-4</v>
      </c>
      <c r="H56" s="92"/>
      <c r="I56" s="91">
        <f t="shared" si="37"/>
        <v>-1.4999999999999999E-4</v>
      </c>
      <c r="J56" s="53">
        <f t="shared" si="32"/>
        <v>-1.4999999999999999E-4</v>
      </c>
      <c r="K56" s="53">
        <f t="shared" si="33"/>
        <v>-1.4999999999999999E-4</v>
      </c>
      <c r="M56" s="54">
        <f t="shared" si="34"/>
        <v>0</v>
      </c>
      <c r="N56" s="54">
        <f t="shared" si="35"/>
        <v>0</v>
      </c>
      <c r="O56" s="54"/>
      <c r="P56" s="54">
        <f t="shared" si="36"/>
        <v>0</v>
      </c>
      <c r="Q56" s="89" t="str">
        <f>+'BOS G3 NEMA'!Q66</f>
        <v>BSTF</v>
      </c>
      <c r="R56" s="136"/>
      <c r="S56" s="136"/>
      <c r="T56" s="136"/>
      <c r="U56" s="136"/>
      <c r="V56" s="136"/>
    </row>
    <row r="57" spans="1:22" x14ac:dyDescent="0.3">
      <c r="A57" s="1">
        <f t="shared" si="0"/>
        <v>57</v>
      </c>
      <c r="B57" s="31"/>
      <c r="C57" s="44" t="str">
        <f>+'BOS G3 NEMA'!C67</f>
        <v>Solar Program Cost Adjustment Factor</v>
      </c>
      <c r="D57" s="44"/>
      <c r="E57" s="86"/>
      <c r="F57" s="136"/>
      <c r="G57" s="53">
        <v>0</v>
      </c>
      <c r="H57" s="92"/>
      <c r="I57" s="91">
        <f t="shared" si="37"/>
        <v>0</v>
      </c>
      <c r="J57" s="53">
        <f t="shared" si="32"/>
        <v>0</v>
      </c>
      <c r="K57" s="53">
        <f t="shared" si="33"/>
        <v>0</v>
      </c>
      <c r="M57" s="54">
        <f t="shared" si="34"/>
        <v>0</v>
      </c>
      <c r="N57" s="54">
        <f t="shared" si="35"/>
        <v>0</v>
      </c>
      <c r="O57" s="54"/>
      <c r="P57" s="54">
        <f t="shared" si="36"/>
        <v>0</v>
      </c>
      <c r="Q57" s="89" t="str">
        <f>+'BOS G3 NEMA'!Q67</f>
        <v>SPCA</v>
      </c>
      <c r="R57" s="136"/>
      <c r="S57" s="136"/>
      <c r="T57" s="136"/>
      <c r="U57" s="136"/>
      <c r="V57" s="136"/>
    </row>
    <row r="58" spans="1:22" x14ac:dyDescent="0.3">
      <c r="A58" s="1">
        <f t="shared" si="0"/>
        <v>58</v>
      </c>
      <c r="B58" s="31"/>
      <c r="C58" s="44" t="str">
        <f>+'BOS G3 NEMA'!C68</f>
        <v>Solar Expansion Cost Recovery Factor</v>
      </c>
      <c r="D58" s="44"/>
      <c r="E58" s="86"/>
      <c r="F58" s="136"/>
      <c r="G58" s="53">
        <v>-1.7000000000000001E-4</v>
      </c>
      <c r="H58" s="92"/>
      <c r="I58" s="91">
        <f t="shared" si="37"/>
        <v>-1.7000000000000001E-4</v>
      </c>
      <c r="J58" s="53">
        <f t="shared" si="32"/>
        <v>-1.7000000000000001E-4</v>
      </c>
      <c r="K58" s="53">
        <f t="shared" si="33"/>
        <v>-1.7000000000000001E-4</v>
      </c>
      <c r="M58" s="54">
        <f t="shared" si="34"/>
        <v>0</v>
      </c>
      <c r="N58" s="54">
        <f t="shared" si="35"/>
        <v>0</v>
      </c>
      <c r="O58" s="54"/>
      <c r="P58" s="54">
        <f t="shared" si="36"/>
        <v>0</v>
      </c>
      <c r="Q58" s="89" t="str">
        <f>+'BOS G3 NEMA'!Q68</f>
        <v>SECRF</v>
      </c>
      <c r="R58" s="136"/>
      <c r="S58" s="136"/>
      <c r="T58" s="136"/>
      <c r="U58" s="136"/>
      <c r="V58" s="136"/>
    </row>
    <row r="59" spans="1:22" x14ac:dyDescent="0.3">
      <c r="A59" s="1">
        <f t="shared" si="0"/>
        <v>59</v>
      </c>
      <c r="B59" s="31"/>
      <c r="C59" s="44" t="str">
        <f>+'BOS G3 NEMA'!C69</f>
        <v>Vegetation Management</v>
      </c>
      <c r="D59" s="44"/>
      <c r="E59" s="86"/>
      <c r="F59" s="136"/>
      <c r="G59" s="53">
        <v>5.9999999999999995E-4</v>
      </c>
      <c r="H59" s="92"/>
      <c r="I59" s="91">
        <f t="shared" si="37"/>
        <v>5.9999999999999995E-4</v>
      </c>
      <c r="J59" s="53">
        <f t="shared" si="32"/>
        <v>5.9999999999999995E-4</v>
      </c>
      <c r="K59" s="53">
        <f t="shared" si="33"/>
        <v>5.9999999999999995E-4</v>
      </c>
      <c r="L59" s="37"/>
      <c r="M59" s="54">
        <f t="shared" si="34"/>
        <v>0</v>
      </c>
      <c r="N59" s="54">
        <f t="shared" si="35"/>
        <v>0</v>
      </c>
      <c r="O59" s="54"/>
      <c r="P59" s="54">
        <f t="shared" si="36"/>
        <v>0</v>
      </c>
      <c r="Q59" s="89" t="str">
        <f>+'BOS G3 NEMA'!Q69</f>
        <v>RTWF</v>
      </c>
      <c r="R59" s="136"/>
      <c r="S59" s="136"/>
      <c r="T59" s="136"/>
      <c r="U59" s="136"/>
      <c r="V59" s="136"/>
    </row>
    <row r="60" spans="1:22" x14ac:dyDescent="0.3">
      <c r="A60" s="1">
        <f t="shared" si="0"/>
        <v>60</v>
      </c>
      <c r="B60" s="31"/>
      <c r="C60" s="44" t="str">
        <f>+'BOS G3 NEMA'!C70</f>
        <v>Tax Act Credit Factor</v>
      </c>
      <c r="D60" s="37"/>
      <c r="E60" s="37"/>
      <c r="F60" s="53"/>
      <c r="G60" s="53">
        <v>-5.9999999999999995E-4</v>
      </c>
      <c r="H60" s="53"/>
      <c r="I60" s="91">
        <f t="shared" si="37"/>
        <v>-5.9999999999999995E-4</v>
      </c>
      <c r="J60" s="53">
        <f t="shared" si="32"/>
        <v>-5.9999999999999995E-4</v>
      </c>
      <c r="K60" s="53">
        <f t="shared" si="33"/>
        <v>-5.9999999999999995E-4</v>
      </c>
      <c r="L60" s="37"/>
      <c r="M60" s="54">
        <f t="shared" si="34"/>
        <v>0</v>
      </c>
      <c r="N60" s="54">
        <f t="shared" si="35"/>
        <v>0</v>
      </c>
      <c r="O60" s="54"/>
      <c r="P60" s="54">
        <f t="shared" si="36"/>
        <v>0</v>
      </c>
      <c r="Q60" s="89" t="str">
        <f>+'BOS G3 NEMA'!Q70</f>
        <v>TACF</v>
      </c>
    </row>
    <row r="61" spans="1:22" x14ac:dyDescent="0.3">
      <c r="A61" s="1">
        <f t="shared" si="0"/>
        <v>61</v>
      </c>
      <c r="B61" s="31"/>
      <c r="C61" s="44" t="str">
        <f>+'BOS G3 NEMA'!C71</f>
        <v>Grid Modernization</v>
      </c>
      <c r="D61" s="37"/>
      <c r="E61" s="37"/>
      <c r="F61" s="53"/>
      <c r="G61" s="53">
        <v>7.6999999999999996E-4</v>
      </c>
      <c r="H61" s="53"/>
      <c r="I61" s="91">
        <f t="shared" si="37"/>
        <v>7.6999999999999996E-4</v>
      </c>
      <c r="J61" s="53">
        <f t="shared" si="32"/>
        <v>7.6999999999999996E-4</v>
      </c>
      <c r="K61" s="53">
        <f t="shared" si="33"/>
        <v>7.6999999999999996E-4</v>
      </c>
      <c r="M61" s="54">
        <f t="shared" si="34"/>
        <v>0</v>
      </c>
      <c r="N61" s="54">
        <f t="shared" si="35"/>
        <v>0</v>
      </c>
      <c r="O61" s="54"/>
      <c r="P61" s="54">
        <f t="shared" si="36"/>
        <v>0</v>
      </c>
      <c r="Q61" s="89" t="str">
        <f>+'BOS G3 NEMA'!Q71</f>
        <v>GMOD</v>
      </c>
    </row>
    <row r="62" spans="1:22" x14ac:dyDescent="0.3">
      <c r="A62" s="1">
        <f t="shared" si="0"/>
        <v>62</v>
      </c>
      <c r="B62" s="31"/>
      <c r="C62" s="44" t="str">
        <f>+'BOS G3 NEMA'!C72</f>
        <v>Advanced Metering Infrastructure</v>
      </c>
      <c r="D62" s="37"/>
      <c r="E62" s="37"/>
      <c r="F62" s="53"/>
      <c r="G62" s="53">
        <v>1.0200000000000001E-3</v>
      </c>
      <c r="H62" s="53"/>
      <c r="I62" s="91">
        <f t="shared" si="37"/>
        <v>1.0200000000000001E-3</v>
      </c>
      <c r="J62" s="53">
        <f t="shared" si="32"/>
        <v>1.0200000000000001E-3</v>
      </c>
      <c r="K62" s="53">
        <f t="shared" si="33"/>
        <v>1.0200000000000001E-3</v>
      </c>
      <c r="M62" s="54">
        <f t="shared" si="34"/>
        <v>0</v>
      </c>
      <c r="N62" s="54">
        <f t="shared" si="35"/>
        <v>0</v>
      </c>
      <c r="O62" s="54"/>
      <c r="P62" s="54">
        <f t="shared" si="36"/>
        <v>0</v>
      </c>
      <c r="Q62" s="89" t="str">
        <f>+'BOS G3 NEMA'!Q72</f>
        <v>AMIF</v>
      </c>
    </row>
    <row r="63" spans="1:22" x14ac:dyDescent="0.3">
      <c r="A63" s="1">
        <f t="shared" si="0"/>
        <v>63</v>
      </c>
      <c r="B63" s="31"/>
      <c r="C63" s="44" t="str">
        <f>+'BOS G3 NEMA'!C73</f>
        <v>Electronic Payment Recovery</v>
      </c>
      <c r="D63" s="37"/>
      <c r="E63" s="37"/>
      <c r="F63" s="53"/>
      <c r="G63" s="53">
        <v>0</v>
      </c>
      <c r="H63" s="53"/>
      <c r="I63" s="91">
        <f t="shared" si="37"/>
        <v>0</v>
      </c>
      <c r="J63" s="53">
        <f t="shared" si="32"/>
        <v>0</v>
      </c>
      <c r="K63" s="53">
        <f t="shared" si="33"/>
        <v>0</v>
      </c>
      <c r="M63" s="54">
        <f t="shared" si="34"/>
        <v>0</v>
      </c>
      <c r="N63" s="54">
        <f t="shared" si="35"/>
        <v>0</v>
      </c>
      <c r="O63" s="54"/>
      <c r="P63" s="54">
        <f t="shared" si="36"/>
        <v>0</v>
      </c>
      <c r="Q63" s="89" t="str">
        <f>+'BOS G3 NEMA'!Q73</f>
        <v>EPR</v>
      </c>
    </row>
    <row r="64" spans="1:22" x14ac:dyDescent="0.3">
      <c r="A64" s="1">
        <f t="shared" si="0"/>
        <v>64</v>
      </c>
      <c r="B64" s="31"/>
      <c r="C64" s="44" t="str">
        <f>+'BOS G3 NEMA'!C74</f>
        <v>Provisional System Planning Factor</v>
      </c>
      <c r="D64" s="37"/>
      <c r="E64" s="37"/>
      <c r="F64" s="53"/>
      <c r="G64" s="91">
        <v>0</v>
      </c>
      <c r="H64" s="92"/>
      <c r="I64" s="91">
        <f t="shared" si="37"/>
        <v>0</v>
      </c>
      <c r="J64" s="91">
        <f t="shared" si="32"/>
        <v>0</v>
      </c>
      <c r="K64" s="91">
        <f t="shared" si="33"/>
        <v>0</v>
      </c>
      <c r="M64" s="54">
        <f t="shared" si="34"/>
        <v>0</v>
      </c>
      <c r="N64" s="54">
        <f t="shared" si="35"/>
        <v>0</v>
      </c>
      <c r="O64" s="54"/>
      <c r="P64" s="54">
        <f t="shared" si="36"/>
        <v>0</v>
      </c>
      <c r="Q64" s="89" t="str">
        <f>+'BOS G3 NEMA'!Q74</f>
        <v>PSPF</v>
      </c>
    </row>
    <row r="65" spans="1:24" x14ac:dyDescent="0.3">
      <c r="A65" s="1">
        <f t="shared" si="0"/>
        <v>65</v>
      </c>
      <c r="B65" s="31"/>
      <c r="C65" s="44" t="str">
        <f>+'BOS G3 NEMA'!C75</f>
        <v>Electric Vehicle Factor</v>
      </c>
      <c r="D65" s="37"/>
      <c r="E65" s="37"/>
      <c r="F65" s="53"/>
      <c r="G65" s="91">
        <v>4.8000000000000001E-4</v>
      </c>
      <c r="H65" s="92"/>
      <c r="I65" s="91">
        <f t="shared" si="37"/>
        <v>4.8000000000000001E-4</v>
      </c>
      <c r="J65" s="91">
        <f t="shared" si="32"/>
        <v>4.8000000000000001E-4</v>
      </c>
      <c r="K65" s="91">
        <f t="shared" si="33"/>
        <v>4.8000000000000001E-4</v>
      </c>
      <c r="M65" s="54">
        <f t="shared" si="34"/>
        <v>0</v>
      </c>
      <c r="N65" s="54">
        <f t="shared" si="35"/>
        <v>0</v>
      </c>
      <c r="O65" s="54"/>
      <c r="P65" s="54">
        <f t="shared" si="36"/>
        <v>0</v>
      </c>
      <c r="Q65" s="89" t="str">
        <f>+'BOS G3 NEMA'!Q75</f>
        <v>EVF</v>
      </c>
    </row>
    <row r="66" spans="1:24" x14ac:dyDescent="0.3">
      <c r="A66" s="1">
        <f t="shared" si="0"/>
        <v>66</v>
      </c>
      <c r="B66" s="31"/>
      <c r="C66" s="44" t="str">
        <f>+'BOS G3 NEMA'!C76</f>
        <v>Transition</v>
      </c>
      <c r="D66" s="44"/>
      <c r="E66" s="86"/>
      <c r="F66" s="136"/>
      <c r="G66" s="91">
        <v>-3.6999999999999999E-4</v>
      </c>
      <c r="H66" s="92"/>
      <c r="I66" s="91">
        <f t="shared" si="37"/>
        <v>-3.6999999999999999E-4</v>
      </c>
      <c r="J66" s="91">
        <f t="shared" si="32"/>
        <v>-3.6999999999999999E-4</v>
      </c>
      <c r="K66" s="91">
        <f t="shared" si="33"/>
        <v>-3.6999999999999999E-4</v>
      </c>
      <c r="M66" s="54">
        <f t="shared" si="34"/>
        <v>0</v>
      </c>
      <c r="N66" s="54">
        <f t="shared" si="35"/>
        <v>0</v>
      </c>
      <c r="O66" s="54"/>
      <c r="P66" s="54">
        <f t="shared" si="36"/>
        <v>0</v>
      </c>
      <c r="Q66" s="89" t="str">
        <f>+'BOS G3 NEMA'!Q76</f>
        <v>TRNSN</v>
      </c>
      <c r="R66" s="136"/>
      <c r="S66" s="136"/>
      <c r="T66" s="136"/>
      <c r="U66" s="136"/>
      <c r="V66" s="136"/>
    </row>
    <row r="67" spans="1:24" x14ac:dyDescent="0.3">
      <c r="A67" s="1">
        <f t="shared" ref="A67:A72" si="38">A66+1</f>
        <v>67</v>
      </c>
      <c r="B67" s="31"/>
      <c r="C67" s="44" t="s">
        <v>207</v>
      </c>
      <c r="D67" s="44"/>
      <c r="E67" s="86"/>
      <c r="F67" s="136"/>
      <c r="G67" s="136">
        <v>764.07</v>
      </c>
      <c r="H67" s="136"/>
      <c r="I67" s="88">
        <f>G67</f>
        <v>764.07</v>
      </c>
      <c r="J67" s="88">
        <f t="shared" si="32"/>
        <v>764.07</v>
      </c>
      <c r="K67" s="88">
        <f t="shared" si="33"/>
        <v>764.07</v>
      </c>
      <c r="M67" s="50">
        <f t="shared" si="34"/>
        <v>0</v>
      </c>
      <c r="N67" s="50">
        <f t="shared" si="35"/>
        <v>0</v>
      </c>
      <c r="O67" s="88"/>
      <c r="P67" s="50">
        <f t="shared" si="36"/>
        <v>0</v>
      </c>
      <c r="Q67" s="51" t="s">
        <v>104</v>
      </c>
      <c r="R67" s="136"/>
      <c r="S67" s="136"/>
      <c r="T67" s="136"/>
      <c r="U67" s="136"/>
      <c r="V67" s="136"/>
    </row>
    <row r="68" spans="1:24" x14ac:dyDescent="0.3">
      <c r="A68" s="1">
        <f t="shared" si="38"/>
        <v>68</v>
      </c>
      <c r="B68" s="31"/>
      <c r="C68" s="44" t="s">
        <v>208</v>
      </c>
      <c r="D68" s="44"/>
      <c r="E68" s="86"/>
      <c r="F68" s="136"/>
      <c r="G68" s="136">
        <v>13.56</v>
      </c>
      <c r="H68" s="136"/>
      <c r="I68" s="88">
        <f t="shared" si="37"/>
        <v>13.56</v>
      </c>
      <c r="J68" s="88">
        <f t="shared" si="32"/>
        <v>13.56</v>
      </c>
      <c r="K68" s="88">
        <f t="shared" si="33"/>
        <v>13.56</v>
      </c>
      <c r="M68" s="50">
        <f t="shared" si="34"/>
        <v>0</v>
      </c>
      <c r="N68" s="50">
        <f t="shared" si="35"/>
        <v>0</v>
      </c>
      <c r="O68" s="88"/>
      <c r="P68" s="50">
        <f t="shared" si="36"/>
        <v>0</v>
      </c>
      <c r="Q68" s="51" t="s">
        <v>104</v>
      </c>
      <c r="R68" s="136"/>
      <c r="S68" s="136"/>
      <c r="T68" s="136"/>
      <c r="U68" s="136"/>
      <c r="V68" s="136"/>
    </row>
    <row r="69" spans="1:24" x14ac:dyDescent="0.3">
      <c r="A69" s="1">
        <f t="shared" si="38"/>
        <v>69</v>
      </c>
      <c r="B69" s="31"/>
      <c r="C69" s="44" t="s">
        <v>105</v>
      </c>
      <c r="D69" s="44"/>
      <c r="E69" s="86"/>
      <c r="F69" s="136"/>
      <c r="G69" s="91">
        <v>-8.1300000000000001E-3</v>
      </c>
      <c r="H69" s="92"/>
      <c r="I69" s="91">
        <v>1.038E-2</v>
      </c>
      <c r="J69" s="91">
        <v>1.333E-2</v>
      </c>
      <c r="K69" s="91">
        <v>1.3129999999999999E-2</v>
      </c>
      <c r="M69" s="54">
        <f t="shared" si="34"/>
        <v>1.8509999999999999E-2</v>
      </c>
      <c r="N69" s="54">
        <f t="shared" si="35"/>
        <v>2.9499999999999995E-3</v>
      </c>
      <c r="O69" s="54"/>
      <c r="P69" s="54">
        <f t="shared" si="36"/>
        <v>-2.0000000000000052E-4</v>
      </c>
      <c r="Q69" s="89" t="s">
        <v>106</v>
      </c>
      <c r="R69" s="136"/>
      <c r="S69" s="136"/>
      <c r="T69" s="136"/>
      <c r="U69" s="136"/>
      <c r="V69" s="136"/>
    </row>
    <row r="70" spans="1:24" x14ac:dyDescent="0.3">
      <c r="A70" s="1">
        <f t="shared" si="38"/>
        <v>70</v>
      </c>
      <c r="B70" s="31"/>
      <c r="C70" s="44" t="s">
        <v>107</v>
      </c>
      <c r="D70" s="44"/>
      <c r="E70" s="86"/>
      <c r="F70" s="136"/>
      <c r="G70" s="91">
        <v>2.5000000000000001E-3</v>
      </c>
      <c r="H70" s="92"/>
      <c r="I70" s="91">
        <f t="shared" si="37"/>
        <v>2.5000000000000001E-3</v>
      </c>
      <c r="J70" s="91">
        <f t="shared" si="32"/>
        <v>2.5000000000000001E-3</v>
      </c>
      <c r="K70" s="91">
        <f t="shared" si="33"/>
        <v>2.5000000000000001E-3</v>
      </c>
      <c r="M70" s="54">
        <f t="shared" si="34"/>
        <v>0</v>
      </c>
      <c r="N70" s="54">
        <f t="shared" si="35"/>
        <v>0</v>
      </c>
      <c r="O70" s="54"/>
      <c r="P70" s="54">
        <f t="shared" si="36"/>
        <v>0</v>
      </c>
      <c r="Q70" s="89" t="s">
        <v>108</v>
      </c>
      <c r="R70" s="136"/>
      <c r="S70" s="136"/>
      <c r="T70" s="136"/>
      <c r="U70" s="136"/>
      <c r="V70" s="136"/>
    </row>
    <row r="71" spans="1:24" x14ac:dyDescent="0.3">
      <c r="A71" s="1">
        <f t="shared" si="38"/>
        <v>71</v>
      </c>
      <c r="B71" s="31"/>
      <c r="C71" s="44" t="s">
        <v>109</v>
      </c>
      <c r="E71" s="136"/>
      <c r="F71" s="136"/>
      <c r="G71" s="91">
        <v>5.0000000000000001E-4</v>
      </c>
      <c r="H71" s="92"/>
      <c r="I71" s="91">
        <f t="shared" si="37"/>
        <v>5.0000000000000001E-4</v>
      </c>
      <c r="J71" s="92">
        <f t="shared" si="32"/>
        <v>5.0000000000000001E-4</v>
      </c>
      <c r="K71" s="91">
        <f t="shared" si="33"/>
        <v>5.0000000000000001E-4</v>
      </c>
      <c r="M71" s="54">
        <f t="shared" si="34"/>
        <v>0</v>
      </c>
      <c r="N71" s="54">
        <f t="shared" si="35"/>
        <v>0</v>
      </c>
      <c r="O71" s="54"/>
      <c r="P71" s="54">
        <f t="shared" si="36"/>
        <v>0</v>
      </c>
      <c r="Q71" s="89" t="s">
        <v>110</v>
      </c>
      <c r="R71" s="136"/>
      <c r="S71" s="136"/>
      <c r="T71" s="136"/>
      <c r="U71" s="136"/>
      <c r="V71" s="136"/>
    </row>
    <row r="72" spans="1:24" x14ac:dyDescent="0.3">
      <c r="A72" s="1">
        <f t="shared" si="38"/>
        <v>72</v>
      </c>
      <c r="C72" s="44" t="s">
        <v>111</v>
      </c>
      <c r="E72" s="136"/>
      <c r="F72" s="136"/>
      <c r="G72" s="92">
        <v>0.12114</v>
      </c>
      <c r="H72" s="92"/>
      <c r="I72" s="91">
        <f t="shared" si="37"/>
        <v>0.12114</v>
      </c>
      <c r="J72" s="92">
        <f t="shared" si="32"/>
        <v>0.12114</v>
      </c>
      <c r="K72" s="91">
        <f t="shared" si="33"/>
        <v>0.12114</v>
      </c>
      <c r="M72" s="54">
        <f t="shared" si="34"/>
        <v>0</v>
      </c>
      <c r="N72" s="54">
        <f t="shared" si="35"/>
        <v>0</v>
      </c>
      <c r="O72" s="54"/>
      <c r="P72" s="54">
        <f t="shared" si="36"/>
        <v>0</v>
      </c>
      <c r="Q72" s="89" t="s">
        <v>112</v>
      </c>
      <c r="R72" s="136"/>
      <c r="S72" s="136"/>
      <c r="T72" s="136"/>
      <c r="U72" s="136"/>
      <c r="V72" s="136"/>
    </row>
    <row r="73" spans="1:24" x14ac:dyDescent="0.3">
      <c r="A73" s="1"/>
      <c r="C73" s="44"/>
      <c r="E73" s="136"/>
      <c r="F73" s="136"/>
      <c r="G73" s="92"/>
      <c r="H73" s="92"/>
      <c r="I73" s="92"/>
      <c r="J73" s="94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X73" s="89"/>
    </row>
    <row r="74" spans="1:24" x14ac:dyDescent="0.3">
      <c r="A74" s="1"/>
      <c r="C74" s="44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</row>
    <row r="75" spans="1:24" x14ac:dyDescent="0.3">
      <c r="A75" s="1"/>
      <c r="C75" s="44" t="s">
        <v>58</v>
      </c>
      <c r="G75" s="136">
        <f>+G43</f>
        <v>370</v>
      </c>
      <c r="H75" s="136"/>
      <c r="I75" s="136">
        <f>+I43</f>
        <v>370</v>
      </c>
      <c r="J75" s="136">
        <f t="shared" ref="J75:K75" si="39">+J43</f>
        <v>370</v>
      </c>
      <c r="K75" s="136">
        <f t="shared" si="39"/>
        <v>370</v>
      </c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</row>
    <row r="76" spans="1:24" x14ac:dyDescent="0.3">
      <c r="A76" s="1"/>
      <c r="C76" s="44" t="s">
        <v>209</v>
      </c>
      <c r="G76" s="136">
        <f>+G67</f>
        <v>764.07</v>
      </c>
      <c r="H76" s="136"/>
      <c r="I76" s="136">
        <f>+I67</f>
        <v>764.07</v>
      </c>
      <c r="J76" s="136">
        <f t="shared" ref="J76:K76" si="40">+J67</f>
        <v>764.07</v>
      </c>
      <c r="K76" s="136">
        <f t="shared" si="40"/>
        <v>764.07</v>
      </c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</row>
    <row r="77" spans="1:24" x14ac:dyDescent="0.3">
      <c r="A77" s="1"/>
      <c r="C77" s="44" t="s">
        <v>210</v>
      </c>
      <c r="E77" s="136"/>
      <c r="F77" s="136"/>
      <c r="G77" s="136">
        <f>+G44</f>
        <v>6.49</v>
      </c>
      <c r="H77" s="136"/>
      <c r="I77" s="136">
        <f>+I44</f>
        <v>6.49</v>
      </c>
      <c r="J77" s="136">
        <f t="shared" ref="J77:K77" si="41">+J44</f>
        <v>6.49</v>
      </c>
      <c r="K77" s="136">
        <f t="shared" si="41"/>
        <v>6.49</v>
      </c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</row>
    <row r="78" spans="1:24" x14ac:dyDescent="0.3">
      <c r="A78" s="1"/>
      <c r="C78" s="44" t="s">
        <v>211</v>
      </c>
      <c r="E78" s="136"/>
      <c r="F78" s="136"/>
      <c r="G78" s="136">
        <f>SUM(G44,G68)</f>
        <v>20.05</v>
      </c>
      <c r="H78" s="136"/>
      <c r="I78" s="136">
        <f>SUM(I44,I68)</f>
        <v>20.05</v>
      </c>
      <c r="J78" s="136">
        <f t="shared" ref="J78:K78" si="42">SUM(J44,J68)</f>
        <v>20.05</v>
      </c>
      <c r="K78" s="136">
        <f t="shared" si="42"/>
        <v>20.05</v>
      </c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</row>
    <row r="79" spans="1:24" x14ac:dyDescent="0.3">
      <c r="A79" s="1"/>
      <c r="C79" s="44" t="s">
        <v>149</v>
      </c>
      <c r="E79" s="136"/>
      <c r="F79" s="136"/>
      <c r="G79" s="91">
        <f>SUM(G45:G66,G69:G71)</f>
        <v>9.300000000000001E-3</v>
      </c>
      <c r="H79" s="92"/>
      <c r="I79" s="91">
        <f>SUM(I45:I66,I69:I71)</f>
        <v>2.7809999999999998E-2</v>
      </c>
      <c r="J79" s="91">
        <f t="shared" ref="J79:K79" si="43">SUM(J45:J66,J69:J71)</f>
        <v>3.0759999999999999E-2</v>
      </c>
      <c r="K79" s="91">
        <f t="shared" si="43"/>
        <v>3.056E-2</v>
      </c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</row>
    <row r="80" spans="1:24" x14ac:dyDescent="0.3">
      <c r="A80" s="1"/>
      <c r="C80" s="44" t="s">
        <v>123</v>
      </c>
      <c r="E80" s="136"/>
      <c r="F80" s="136"/>
      <c r="G80" s="91">
        <f>+G72</f>
        <v>0.12114</v>
      </c>
      <c r="H80" s="92"/>
      <c r="I80" s="91">
        <f>+I72</f>
        <v>0.12114</v>
      </c>
      <c r="J80" s="91">
        <f t="shared" ref="J80:K80" si="44">+J72</f>
        <v>0.12114</v>
      </c>
      <c r="K80" s="91">
        <f t="shared" si="44"/>
        <v>0.12114</v>
      </c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</row>
    <row r="81" spans="5:22" x14ac:dyDescent="0.3"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</row>
    <row r="82" spans="5:22" x14ac:dyDescent="0.3"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</row>
    <row r="83" spans="5:22" x14ac:dyDescent="0.3"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</row>
    <row r="84" spans="5:22" x14ac:dyDescent="0.3"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</row>
    <row r="85" spans="5:22" x14ac:dyDescent="0.3"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</row>
    <row r="86" spans="5:22" x14ac:dyDescent="0.3"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</row>
    <row r="87" spans="5:22" x14ac:dyDescent="0.3"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</row>
    <row r="88" spans="5:22" x14ac:dyDescent="0.3"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</row>
    <row r="89" spans="5:22" x14ac:dyDescent="0.3"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</row>
    <row r="90" spans="5:22" x14ac:dyDescent="0.3"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</row>
    <row r="91" spans="5:22" x14ac:dyDescent="0.3"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</row>
    <row r="92" spans="5:22" x14ac:dyDescent="0.3"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</row>
    <row r="93" spans="5:22" x14ac:dyDescent="0.3"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</row>
    <row r="94" spans="5:22" x14ac:dyDescent="0.3">
      <c r="I94" s="44"/>
      <c r="J94" s="44"/>
      <c r="K94" s="44"/>
    </row>
    <row r="95" spans="5:22" x14ac:dyDescent="0.3">
      <c r="I95" s="44"/>
      <c r="J95" s="44"/>
      <c r="K95" s="44"/>
    </row>
    <row r="96" spans="5:22" x14ac:dyDescent="0.3">
      <c r="I96" s="44"/>
      <c r="J96" s="44"/>
      <c r="K96" s="44"/>
    </row>
    <row r="97" spans="3:23" x14ac:dyDescent="0.3">
      <c r="I97" s="44"/>
      <c r="J97" s="44"/>
      <c r="K97" s="44"/>
    </row>
    <row r="98" spans="3:23" x14ac:dyDescent="0.3">
      <c r="I98" s="44"/>
      <c r="J98" s="44"/>
      <c r="K98" s="44"/>
    </row>
    <row r="99" spans="3:23" x14ac:dyDescent="0.3">
      <c r="I99" s="44"/>
      <c r="J99" s="44"/>
      <c r="K99" s="44"/>
    </row>
    <row r="100" spans="3:23" x14ac:dyDescent="0.3">
      <c r="I100" s="44"/>
      <c r="J100" s="44"/>
      <c r="K100" s="44"/>
    </row>
    <row r="101" spans="3:23" x14ac:dyDescent="0.3">
      <c r="I101" s="44"/>
      <c r="J101" s="44"/>
      <c r="K101" s="44"/>
    </row>
    <row r="102" spans="3:23" x14ac:dyDescent="0.3">
      <c r="I102" s="44"/>
      <c r="J102" s="44"/>
      <c r="K102" s="44"/>
    </row>
    <row r="103" spans="3:23" x14ac:dyDescent="0.3">
      <c r="I103" s="44"/>
      <c r="J103" s="44"/>
      <c r="K103" s="44"/>
    </row>
    <row r="104" spans="3:23" x14ac:dyDescent="0.3">
      <c r="I104" s="44"/>
      <c r="J104" s="44"/>
      <c r="K104" s="44"/>
    </row>
    <row r="105" spans="3:23" x14ac:dyDescent="0.3">
      <c r="I105" s="44"/>
      <c r="J105" s="44"/>
      <c r="K105" s="44"/>
    </row>
    <row r="106" spans="3:23" x14ac:dyDescent="0.3">
      <c r="C106" s="190"/>
      <c r="D106" s="144"/>
      <c r="E106" s="144"/>
      <c r="F106" s="144"/>
      <c r="G106" s="144"/>
      <c r="H106" s="144"/>
      <c r="I106" s="180"/>
      <c r="J106" s="180"/>
      <c r="K106" s="180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</row>
    <row r="107" spans="3:23" x14ac:dyDescent="0.3">
      <c r="C107" s="163"/>
      <c r="D107" s="163"/>
      <c r="E107" s="146"/>
      <c r="F107" s="146"/>
      <c r="G107" s="146"/>
      <c r="H107" s="147"/>
      <c r="I107" s="146"/>
      <c r="J107" s="146"/>
      <c r="K107" s="146"/>
      <c r="L107" s="147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8"/>
    </row>
    <row r="108" spans="3:23" x14ac:dyDescent="0.3">
      <c r="C108" s="144"/>
      <c r="D108" s="144"/>
      <c r="E108" s="144"/>
      <c r="F108" s="144"/>
      <c r="G108" s="144"/>
      <c r="H108" s="144"/>
      <c r="I108" s="180"/>
      <c r="J108" s="180"/>
      <c r="K108" s="180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</row>
    <row r="109" spans="3:23" x14ac:dyDescent="0.3">
      <c r="C109" s="163"/>
      <c r="D109" s="163"/>
      <c r="E109" s="146"/>
      <c r="F109" s="146"/>
      <c r="G109" s="146"/>
      <c r="H109" s="147"/>
      <c r="I109" s="146"/>
      <c r="J109" s="146"/>
      <c r="K109" s="146"/>
      <c r="L109" s="147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8"/>
    </row>
    <row r="110" spans="3:23" x14ac:dyDescent="0.3">
      <c r="I110" s="44"/>
      <c r="J110" s="44"/>
      <c r="K110" s="44"/>
    </row>
    <row r="111" spans="3:23" x14ac:dyDescent="0.3">
      <c r="I111" s="44"/>
      <c r="J111" s="44"/>
      <c r="K111" s="44"/>
    </row>
    <row r="112" spans="3:23" x14ac:dyDescent="0.3">
      <c r="I112" s="44"/>
      <c r="J112" s="44"/>
      <c r="K112" s="44"/>
    </row>
    <row r="113" spans="9:11" x14ac:dyDescent="0.3">
      <c r="I113" s="44"/>
      <c r="J113" s="44"/>
      <c r="K113" s="44"/>
    </row>
    <row r="114" spans="9:11" x14ac:dyDescent="0.3">
      <c r="I114" s="44"/>
      <c r="J114" s="44"/>
      <c r="K114" s="44"/>
    </row>
    <row r="115" spans="9:11" x14ac:dyDescent="0.3">
      <c r="I115" s="44"/>
      <c r="J115" s="44"/>
      <c r="K115" s="44"/>
    </row>
    <row r="116" spans="9:11" x14ac:dyDescent="0.3">
      <c r="I116" s="44"/>
      <c r="J116" s="44"/>
      <c r="K116" s="44"/>
    </row>
    <row r="117" spans="9:11" x14ac:dyDescent="0.3">
      <c r="I117" s="44"/>
      <c r="J117" s="44"/>
      <c r="K117" s="44"/>
    </row>
    <row r="118" spans="9:11" x14ac:dyDescent="0.3">
      <c r="I118" s="44"/>
      <c r="J118" s="44"/>
      <c r="K118" s="44"/>
    </row>
    <row r="119" spans="9:11" x14ac:dyDescent="0.3">
      <c r="I119" s="44"/>
      <c r="J119" s="44"/>
      <c r="K119" s="44"/>
    </row>
    <row r="120" spans="9:11" x14ac:dyDescent="0.3">
      <c r="I120" s="44"/>
      <c r="J120" s="44"/>
      <c r="K120" s="44"/>
    </row>
    <row r="121" spans="9:11" x14ac:dyDescent="0.3">
      <c r="I121" s="44"/>
      <c r="J121" s="44"/>
      <c r="K121" s="44"/>
    </row>
    <row r="122" spans="9:11" x14ac:dyDescent="0.3">
      <c r="I122" s="44"/>
      <c r="J122" s="44"/>
      <c r="K122" s="44"/>
    </row>
    <row r="123" spans="9:11" x14ac:dyDescent="0.3">
      <c r="I123" s="44"/>
      <c r="J123" s="44"/>
      <c r="K123" s="44"/>
    </row>
    <row r="124" spans="9:11" x14ac:dyDescent="0.3">
      <c r="I124" s="44"/>
      <c r="J124" s="44"/>
      <c r="K124" s="44"/>
    </row>
    <row r="125" spans="9:11" x14ac:dyDescent="0.3">
      <c r="I125" s="44"/>
      <c r="J125" s="44"/>
      <c r="K125" s="44"/>
    </row>
    <row r="126" spans="9:11" x14ac:dyDescent="0.3">
      <c r="I126" s="44"/>
      <c r="J126" s="44"/>
      <c r="K126" s="44"/>
    </row>
    <row r="127" spans="9:11" x14ac:dyDescent="0.3">
      <c r="I127" s="44"/>
      <c r="J127" s="44"/>
      <c r="K127" s="44"/>
    </row>
  </sheetData>
  <mergeCells count="7">
    <mergeCell ref="AA10:AB10"/>
    <mergeCell ref="E10:G10"/>
    <mergeCell ref="I10:K10"/>
    <mergeCell ref="M10:N10"/>
    <mergeCell ref="P10:R10"/>
    <mergeCell ref="T10:U10"/>
    <mergeCell ref="W10:Y10"/>
  </mergeCells>
  <pageMargins left="0.7" right="0.7" top="0.75" bottom="0.75" header="0.3" footer="0.3"/>
  <pageSetup scale="33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81CA6-C969-4092-974B-B97F5402AE8A}">
  <sheetPr>
    <tabColor theme="3" tint="0.59999389629810485"/>
    <pageSetUpPr fitToPage="1"/>
  </sheetPr>
  <dimension ref="A1:AF139"/>
  <sheetViews>
    <sheetView zoomScaleNormal="100" workbookViewId="0"/>
  </sheetViews>
  <sheetFormatPr defaultColWidth="9.1796875" defaultRowHeight="14" x14ac:dyDescent="0.3"/>
  <cols>
    <col min="1" max="1" width="4" style="2" customWidth="1"/>
    <col min="2" max="2" width="4.453125" style="2" bestFit="1" customWidth="1"/>
    <col min="3" max="4" width="11.81640625" style="2" customWidth="1"/>
    <col min="5" max="5" width="12.36328125" style="2" bestFit="1" customWidth="1"/>
    <col min="6" max="6" width="13.08984375" style="2" bestFit="1" customWidth="1"/>
    <col min="7" max="7" width="13.453125" style="2" bestFit="1" customWidth="1"/>
    <col min="8" max="8" width="2" style="2" customWidth="1"/>
    <col min="9" max="9" width="12.36328125" style="2" bestFit="1" customWidth="1"/>
    <col min="10" max="11" width="13.08984375" style="2" bestFit="1" customWidth="1"/>
    <col min="12" max="12" width="2" style="2" customWidth="1"/>
    <col min="13" max="14" width="11.81640625" style="2" customWidth="1"/>
    <col min="15" max="15" width="2" style="2" customWidth="1"/>
    <col min="16" max="16" width="12.6328125" style="2" bestFit="1" customWidth="1"/>
    <col min="17" max="17" width="13.08984375" style="2" bestFit="1" customWidth="1"/>
    <col min="18" max="18" width="13.453125" style="2" bestFit="1" customWidth="1"/>
    <col min="19" max="19" width="2" style="2" customWidth="1"/>
    <col min="20" max="21" width="11.81640625" style="2" customWidth="1"/>
    <col min="22" max="22" width="2" style="2" customWidth="1"/>
    <col min="23" max="23" width="12.36328125" style="2" bestFit="1" customWidth="1"/>
    <col min="24" max="25" width="13.08984375" style="2" bestFit="1" customWidth="1"/>
    <col min="26" max="26" width="2" style="2" customWidth="1"/>
    <col min="27" max="28" width="11.81640625" style="2" customWidth="1"/>
    <col min="29" max="29" width="11.81640625" style="2" bestFit="1" customWidth="1"/>
    <col min="30" max="30" width="12.54296875" style="2" bestFit="1" customWidth="1"/>
    <col min="31" max="16384" width="9.1796875" style="2"/>
  </cols>
  <sheetData>
    <row r="1" spans="1:32" x14ac:dyDescent="0.3">
      <c r="A1" s="1">
        <v>1</v>
      </c>
    </row>
    <row r="2" spans="1:32" x14ac:dyDescent="0.3">
      <c r="A2" s="1">
        <f>A1+1</f>
        <v>2</v>
      </c>
    </row>
    <row r="3" spans="1:32" x14ac:dyDescent="0.3">
      <c r="A3" s="1">
        <f t="shared" ref="A3:A66" si="0">A2+1</f>
        <v>3</v>
      </c>
      <c r="B3" s="24" t="s">
        <v>40</v>
      </c>
    </row>
    <row r="4" spans="1:32" x14ac:dyDescent="0.3">
      <c r="A4" s="1">
        <f t="shared" si="0"/>
        <v>4</v>
      </c>
      <c r="B4" s="24" t="s">
        <v>41</v>
      </c>
      <c r="C4" s="44"/>
      <c r="D4" s="44"/>
      <c r="E4" s="149"/>
      <c r="F4" s="22"/>
      <c r="G4" s="150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32" x14ac:dyDescent="0.3">
      <c r="A5" s="1">
        <f t="shared" si="0"/>
        <v>5</v>
      </c>
      <c r="B5" s="24"/>
      <c r="C5" s="44"/>
      <c r="D5" s="44"/>
      <c r="E5" s="149"/>
      <c r="F5" s="22"/>
      <c r="G5" s="150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32" x14ac:dyDescent="0.3">
      <c r="A6" s="1">
        <f t="shared" si="0"/>
        <v>6</v>
      </c>
      <c r="B6" s="24" t="s">
        <v>137</v>
      </c>
      <c r="C6" s="44"/>
      <c r="D6" s="44"/>
      <c r="E6" s="149"/>
      <c r="F6" s="22"/>
      <c r="G6" s="150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32" x14ac:dyDescent="0.3">
      <c r="A7" s="1">
        <f t="shared" si="0"/>
        <v>7</v>
      </c>
      <c r="B7" s="24" t="s">
        <v>205</v>
      </c>
      <c r="C7" s="44"/>
      <c r="D7" s="44"/>
      <c r="E7" s="149"/>
      <c r="F7" s="22"/>
      <c r="G7" s="150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32" x14ac:dyDescent="0.3">
      <c r="A8" s="1">
        <f t="shared" si="0"/>
        <v>8</v>
      </c>
      <c r="B8" s="166"/>
      <c r="C8" s="44"/>
      <c r="D8" s="44"/>
      <c r="E8" s="149"/>
      <c r="F8" s="22"/>
      <c r="G8" s="150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32" x14ac:dyDescent="0.3">
      <c r="A9" s="1">
        <f t="shared" si="0"/>
        <v>9</v>
      </c>
      <c r="B9" s="104"/>
      <c r="D9" s="44"/>
      <c r="E9" s="44"/>
      <c r="F9" s="44"/>
      <c r="G9" s="131"/>
      <c r="H9" s="44"/>
    </row>
    <row r="10" spans="1:32" x14ac:dyDescent="0.3">
      <c r="A10" s="1">
        <f t="shared" si="0"/>
        <v>10</v>
      </c>
      <c r="B10" s="104"/>
      <c r="C10" s="44"/>
      <c r="D10" s="44"/>
      <c r="E10" s="44"/>
      <c r="F10" s="44"/>
      <c r="G10" s="132"/>
      <c r="H10" s="44"/>
    </row>
    <row r="11" spans="1:32" x14ac:dyDescent="0.3">
      <c r="A11" s="1">
        <f t="shared" si="0"/>
        <v>11</v>
      </c>
      <c r="B11" s="31"/>
      <c r="C11" s="104" t="s">
        <v>2</v>
      </c>
      <c r="D11" s="104" t="s">
        <v>2</v>
      </c>
      <c r="E11" s="32" t="str">
        <f>'EMA R1'!D10</f>
        <v>2024 Monthly Bill</v>
      </c>
      <c r="F11" s="32"/>
      <c r="G11" s="32"/>
      <c r="H11" s="133"/>
      <c r="I11" s="32" t="str">
        <f>'EMA R1'!H10</f>
        <v>2025 Illustrative Monthly Bill</v>
      </c>
      <c r="J11" s="32"/>
      <c r="K11" s="32"/>
      <c r="L11" s="23"/>
      <c r="M11" s="32" t="str">
        <f>'EMA R1'!L10</f>
        <v>2025 vs. 2024</v>
      </c>
      <c r="N11" s="32"/>
      <c r="O11" s="27"/>
      <c r="P11" s="32" t="str">
        <f>'EMA R1'!O10</f>
        <v>2026 Illustrative Monthly Bill</v>
      </c>
      <c r="Q11" s="32"/>
      <c r="R11" s="32"/>
      <c r="S11" s="133"/>
      <c r="T11" s="32" t="str">
        <f>'EMA R1'!S10</f>
        <v>2026 vs. 2025</v>
      </c>
      <c r="U11" s="32"/>
      <c r="V11" s="23"/>
      <c r="W11" s="32" t="str">
        <f>'EMA R1'!V10</f>
        <v>2027 Illustrative Monthly Bill</v>
      </c>
      <c r="X11" s="32"/>
      <c r="Y11" s="32"/>
      <c r="Z11" s="133"/>
      <c r="AA11" s="32" t="str">
        <f>'EMA R1'!Z10</f>
        <v>2027 vs. 2026</v>
      </c>
      <c r="AB11" s="32"/>
      <c r="AC11" s="44"/>
      <c r="AD11" s="44"/>
      <c r="AE11" s="44"/>
      <c r="AF11" s="44"/>
    </row>
    <row r="12" spans="1:32" x14ac:dyDescent="0.3">
      <c r="A12" s="1">
        <f t="shared" si="0"/>
        <v>12</v>
      </c>
      <c r="B12" s="31"/>
      <c r="C12" s="134" t="s">
        <v>165</v>
      </c>
      <c r="D12" s="134" t="s">
        <v>47</v>
      </c>
      <c r="E12" s="34" t="s">
        <v>48</v>
      </c>
      <c r="F12" s="34" t="s">
        <v>49</v>
      </c>
      <c r="G12" s="34" t="s">
        <v>50</v>
      </c>
      <c r="H12" s="34"/>
      <c r="I12" s="34" t="s">
        <v>48</v>
      </c>
      <c r="J12" s="34" t="s">
        <v>49</v>
      </c>
      <c r="K12" s="34" t="s">
        <v>50</v>
      </c>
      <c r="L12" s="23"/>
      <c r="M12" s="34" t="s">
        <v>51</v>
      </c>
      <c r="N12" s="34" t="s">
        <v>14</v>
      </c>
      <c r="O12" s="34"/>
      <c r="P12" s="34" t="s">
        <v>48</v>
      </c>
      <c r="Q12" s="34" t="s">
        <v>49</v>
      </c>
      <c r="R12" s="34" t="s">
        <v>50</v>
      </c>
      <c r="S12" s="34"/>
      <c r="T12" s="34" t="s">
        <v>51</v>
      </c>
      <c r="U12" s="34" t="s">
        <v>14</v>
      </c>
      <c r="V12" s="23"/>
      <c r="W12" s="34" t="s">
        <v>48</v>
      </c>
      <c r="X12" s="34" t="s">
        <v>49</v>
      </c>
      <c r="Y12" s="34" t="s">
        <v>50</v>
      </c>
      <c r="Z12" s="34"/>
      <c r="AA12" s="34" t="s">
        <v>51</v>
      </c>
      <c r="AB12" s="34" t="s">
        <v>14</v>
      </c>
      <c r="AC12" s="44"/>
      <c r="AD12" s="44"/>
      <c r="AE12" s="44"/>
      <c r="AF12" s="44"/>
    </row>
    <row r="13" spans="1:32" x14ac:dyDescent="0.3">
      <c r="A13" s="1">
        <f t="shared" si="0"/>
        <v>13</v>
      </c>
      <c r="B13" s="31"/>
      <c r="C13" s="134"/>
      <c r="D13" s="134"/>
      <c r="E13" s="134"/>
      <c r="F13" s="134"/>
      <c r="G13" s="134"/>
      <c r="H13" s="44"/>
      <c r="I13" s="134"/>
      <c r="J13" s="134"/>
      <c r="K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Y13" s="44"/>
      <c r="Z13" s="44"/>
      <c r="AA13" s="44"/>
      <c r="AB13" s="44"/>
      <c r="AC13" s="44"/>
      <c r="AD13" s="44"/>
      <c r="AE13" s="44"/>
      <c r="AF13" s="44"/>
    </row>
    <row r="14" spans="1:32" x14ac:dyDescent="0.3">
      <c r="A14" s="1">
        <f t="shared" si="0"/>
        <v>14</v>
      </c>
      <c r="B14" s="31"/>
      <c r="C14" s="164" t="s">
        <v>126</v>
      </c>
      <c r="D14" s="104">
        <v>250</v>
      </c>
      <c r="E14" s="134"/>
      <c r="F14" s="134"/>
      <c r="G14" s="134"/>
      <c r="H14" s="44"/>
      <c r="I14" s="134"/>
      <c r="J14" s="134"/>
      <c r="K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Y14" s="44"/>
      <c r="Z14" s="44"/>
      <c r="AA14" s="44"/>
      <c r="AB14" s="44"/>
      <c r="AC14" s="44"/>
      <c r="AD14" s="44"/>
      <c r="AE14" s="44"/>
      <c r="AF14" s="44"/>
    </row>
    <row r="15" spans="1:32" x14ac:dyDescent="0.3">
      <c r="A15" s="1">
        <f t="shared" si="0"/>
        <v>15</v>
      </c>
      <c r="B15" s="31"/>
      <c r="C15" s="105">
        <v>90</v>
      </c>
      <c r="D15" s="106">
        <f t="shared" ref="D15:D20" si="1">C15*$D$14</f>
        <v>22500</v>
      </c>
      <c r="E15" s="135">
        <f>ROUND($G$72+$C15*$G$73+$D15*$G$74,2)</f>
        <v>2813.25</v>
      </c>
      <c r="F15" s="135">
        <f>ROUND($G$75*$D15,2)</f>
        <v>3050.1</v>
      </c>
      <c r="G15" s="135">
        <f t="shared" ref="G15:G20" si="2">SUM(E15:F15)</f>
        <v>5863.35</v>
      </c>
      <c r="H15" s="136"/>
      <c r="I15" s="135">
        <f>ROUND($I$72+$C15*$I$73+$D15*$I$74,2)</f>
        <v>3229.73</v>
      </c>
      <c r="J15" s="135">
        <f>ROUND($I$75*$D15,2)</f>
        <v>3050.1</v>
      </c>
      <c r="K15" s="135">
        <f t="shared" ref="K15:K20" si="3">SUM(I15:J15)</f>
        <v>6279.83</v>
      </c>
      <c r="L15" s="136"/>
      <c r="M15" s="135">
        <f>+K15-G15</f>
        <v>416.47999999999956</v>
      </c>
      <c r="N15" s="137">
        <f t="shared" ref="N15:N20" si="4">+M15/G15</f>
        <v>7.1031065858255013E-2</v>
      </c>
      <c r="O15" s="135"/>
      <c r="P15" s="135">
        <f>ROUND($J$72+$C15*$J$73+$D15*$J$74,2)</f>
        <v>3296.1</v>
      </c>
      <c r="Q15" s="135">
        <f>ROUND($J$75*$D15,2)</f>
        <v>3050.1</v>
      </c>
      <c r="R15" s="135">
        <f t="shared" ref="R15:R20" si="5">SUM(P15:Q15)</f>
        <v>6346.2</v>
      </c>
      <c r="S15" s="136"/>
      <c r="T15" s="135">
        <f>+R15-K15</f>
        <v>66.369999999999891</v>
      </c>
      <c r="U15" s="137">
        <f>+T15/K15</f>
        <v>1.0568757434516522E-2</v>
      </c>
      <c r="V15" s="135"/>
      <c r="W15" s="135">
        <f>ROUND($K$72+$C15*$K$73+$D15*$K$74,2)</f>
        <v>3291.6</v>
      </c>
      <c r="X15" s="135">
        <f>ROUND($K$75*$D15,2)</f>
        <v>3050.1</v>
      </c>
      <c r="Y15" s="135">
        <f t="shared" ref="Y15:Y20" si="6">SUM(W15:X15)</f>
        <v>6341.7</v>
      </c>
      <c r="Z15" s="136"/>
      <c r="AA15" s="135">
        <f>+Y15-R15</f>
        <v>-4.5</v>
      </c>
      <c r="AB15" s="137">
        <f>+AA15/R15</f>
        <v>-7.0908575210362106E-4</v>
      </c>
      <c r="AC15" s="136"/>
      <c r="AD15" s="136"/>
      <c r="AE15" s="136"/>
      <c r="AF15" s="136"/>
    </row>
    <row r="16" spans="1:32" x14ac:dyDescent="0.3">
      <c r="A16" s="1">
        <f t="shared" si="0"/>
        <v>16</v>
      </c>
      <c r="B16" s="31"/>
      <c r="C16" s="105">
        <v>350</v>
      </c>
      <c r="D16" s="106">
        <f t="shared" si="1"/>
        <v>87500</v>
      </c>
      <c r="E16" s="135">
        <f t="shared" ref="E16:E36" si="7">ROUND($G$72+$C16*$G$73+$D16*$G$74,2)</f>
        <v>8253.75</v>
      </c>
      <c r="F16" s="135">
        <f t="shared" ref="F16:F36" si="8">ROUND($G$75*$D16,2)</f>
        <v>11861.5</v>
      </c>
      <c r="G16" s="135">
        <f t="shared" si="2"/>
        <v>20115.25</v>
      </c>
      <c r="H16" s="136"/>
      <c r="I16" s="135">
        <f t="shared" ref="I16:I36" si="9">ROUND($I$72+$C16*$I$73+$D16*$I$74,2)</f>
        <v>9873.3799999999992</v>
      </c>
      <c r="J16" s="135">
        <f t="shared" ref="J16:J36" si="10">ROUND($I$75*$D16,2)</f>
        <v>11861.5</v>
      </c>
      <c r="K16" s="135">
        <f t="shared" si="3"/>
        <v>21734.879999999997</v>
      </c>
      <c r="L16" s="136"/>
      <c r="M16" s="135">
        <f t="shared" ref="M16:M20" si="11">+K16-G16</f>
        <v>1619.6299999999974</v>
      </c>
      <c r="N16" s="137">
        <f t="shared" si="4"/>
        <v>8.0517517803656305E-2</v>
      </c>
      <c r="O16" s="135"/>
      <c r="P16" s="135">
        <f t="shared" ref="P16:P36" si="12">ROUND($J$72+$C16*$J$73+$D16*$J$74,2)</f>
        <v>10131.5</v>
      </c>
      <c r="Q16" s="135">
        <f t="shared" ref="Q16:Q36" si="13">ROUND($J$75*$D16,2)</f>
        <v>11861.5</v>
      </c>
      <c r="R16" s="135">
        <f t="shared" si="5"/>
        <v>21993</v>
      </c>
      <c r="S16" s="136"/>
      <c r="T16" s="135">
        <f t="shared" ref="T16:T36" si="14">+R16-K16</f>
        <v>258.12000000000262</v>
      </c>
      <c r="U16" s="137">
        <f t="shared" ref="U16:U36" si="15">+T16/K16</f>
        <v>1.1875841964621044E-2</v>
      </c>
      <c r="V16" s="135"/>
      <c r="W16" s="135">
        <f>ROUND($K$72+$C16*$K$73+$D16*$K$74,2)</f>
        <v>10114</v>
      </c>
      <c r="X16" s="135">
        <f>ROUND($K$75*$D16,2)</f>
        <v>11861.5</v>
      </c>
      <c r="Y16" s="135">
        <f t="shared" si="6"/>
        <v>21975.5</v>
      </c>
      <c r="Z16" s="136"/>
      <c r="AA16" s="135">
        <f t="shared" ref="AA16:AA36" si="16">+Y16-R16</f>
        <v>-17.5</v>
      </c>
      <c r="AB16" s="137">
        <f t="shared" ref="AB16:AB36" si="17">+AA16/R16</f>
        <v>-7.9570772518528627E-4</v>
      </c>
      <c r="AC16" s="136"/>
      <c r="AD16" s="136"/>
      <c r="AE16" s="136"/>
      <c r="AF16" s="136"/>
    </row>
    <row r="17" spans="1:32" x14ac:dyDescent="0.3">
      <c r="A17" s="1">
        <f t="shared" si="0"/>
        <v>17</v>
      </c>
      <c r="B17" s="31"/>
      <c r="C17" s="105">
        <v>600</v>
      </c>
      <c r="D17" s="106">
        <f t="shared" si="1"/>
        <v>150000</v>
      </c>
      <c r="E17" s="135">
        <f t="shared" si="7"/>
        <v>13485</v>
      </c>
      <c r="F17" s="135">
        <f>ROUND($G$75*$D17,2)</f>
        <v>20334</v>
      </c>
      <c r="G17" s="135">
        <f t="shared" si="2"/>
        <v>33819</v>
      </c>
      <c r="H17" s="136"/>
      <c r="I17" s="135">
        <f t="shared" si="9"/>
        <v>16261.5</v>
      </c>
      <c r="J17" s="135">
        <f t="shared" si="10"/>
        <v>20334</v>
      </c>
      <c r="K17" s="135">
        <f t="shared" si="3"/>
        <v>36595.5</v>
      </c>
      <c r="L17" s="136"/>
      <c r="M17" s="135">
        <f t="shared" si="11"/>
        <v>2776.5</v>
      </c>
      <c r="N17" s="137">
        <f t="shared" si="4"/>
        <v>8.2098820189834124E-2</v>
      </c>
      <c r="O17" s="135"/>
      <c r="P17" s="135">
        <f t="shared" si="12"/>
        <v>16704</v>
      </c>
      <c r="Q17" s="135">
        <f>ROUND($J$75*$D17,2)</f>
        <v>20334</v>
      </c>
      <c r="R17" s="135">
        <f t="shared" si="5"/>
        <v>37038</v>
      </c>
      <c r="S17" s="136"/>
      <c r="T17" s="135">
        <f t="shared" si="14"/>
        <v>442.5</v>
      </c>
      <c r="U17" s="137">
        <f t="shared" si="15"/>
        <v>1.2091650612780259E-2</v>
      </c>
      <c r="V17" s="135"/>
      <c r="W17" s="135">
        <f t="shared" ref="W17:W36" si="18">ROUND($K$72+$C17*$K$73+$D17*$K$74,2)</f>
        <v>16674</v>
      </c>
      <c r="X17" s="135">
        <f t="shared" ref="X17:X36" si="19">ROUND($K$75*$D17,2)</f>
        <v>20334</v>
      </c>
      <c r="Y17" s="135">
        <f t="shared" si="6"/>
        <v>37008</v>
      </c>
      <c r="Z17" s="136"/>
      <c r="AA17" s="135">
        <f t="shared" si="16"/>
        <v>-30</v>
      </c>
      <c r="AB17" s="137">
        <f t="shared" si="17"/>
        <v>-8.0997894054754581E-4</v>
      </c>
      <c r="AC17" s="136"/>
      <c r="AD17" s="136"/>
      <c r="AE17" s="136"/>
      <c r="AF17" s="136"/>
    </row>
    <row r="18" spans="1:32" x14ac:dyDescent="0.3">
      <c r="A18" s="1">
        <f t="shared" si="0"/>
        <v>18</v>
      </c>
      <c r="B18" s="31"/>
      <c r="C18" s="105">
        <v>1000</v>
      </c>
      <c r="D18" s="106">
        <f t="shared" si="1"/>
        <v>250000</v>
      </c>
      <c r="E18" s="135">
        <f>ROUND($G$72+$C18*$G$73+$D18*$G$74,2)</f>
        <v>21855</v>
      </c>
      <c r="F18" s="135">
        <f t="shared" si="8"/>
        <v>33890</v>
      </c>
      <c r="G18" s="135">
        <f t="shared" si="2"/>
        <v>55745</v>
      </c>
      <c r="H18" s="136"/>
      <c r="I18" s="135">
        <f>ROUND($I$72+$C18*$I$73+$D18*$I$74,2)</f>
        <v>26482.5</v>
      </c>
      <c r="J18" s="135">
        <f>ROUND($I$75*$D18,2)</f>
        <v>33890</v>
      </c>
      <c r="K18" s="135">
        <f t="shared" si="3"/>
        <v>60372.5</v>
      </c>
      <c r="L18" s="136"/>
      <c r="M18" s="135">
        <f t="shared" si="11"/>
        <v>4627.5</v>
      </c>
      <c r="N18" s="137">
        <f t="shared" si="4"/>
        <v>8.3011929321015338E-2</v>
      </c>
      <c r="O18" s="135"/>
      <c r="P18" s="135">
        <f>ROUND($J$72+$C18*$J$73+$D18*$J$74,2)</f>
        <v>27220</v>
      </c>
      <c r="Q18" s="135">
        <f t="shared" si="13"/>
        <v>33890</v>
      </c>
      <c r="R18" s="135">
        <f t="shared" si="5"/>
        <v>61110</v>
      </c>
      <c r="S18" s="136"/>
      <c r="T18" s="135">
        <f t="shared" si="14"/>
        <v>737.5</v>
      </c>
      <c r="U18" s="137">
        <f t="shared" si="15"/>
        <v>1.2215826742308171E-2</v>
      </c>
      <c r="V18" s="135"/>
      <c r="W18" s="135">
        <f t="shared" si="18"/>
        <v>27170</v>
      </c>
      <c r="X18" s="135">
        <f t="shared" si="19"/>
        <v>33890</v>
      </c>
      <c r="Y18" s="135">
        <f t="shared" si="6"/>
        <v>61060</v>
      </c>
      <c r="Z18" s="136"/>
      <c r="AA18" s="135">
        <f t="shared" si="16"/>
        <v>-50</v>
      </c>
      <c r="AB18" s="137">
        <f t="shared" si="17"/>
        <v>-8.181966944853543E-4</v>
      </c>
      <c r="AC18" s="136"/>
      <c r="AD18" s="136"/>
      <c r="AE18" s="136"/>
      <c r="AF18" s="136"/>
    </row>
    <row r="19" spans="1:32" x14ac:dyDescent="0.3">
      <c r="A19" s="1">
        <f t="shared" si="0"/>
        <v>19</v>
      </c>
      <c r="B19" s="31"/>
      <c r="C19" s="105">
        <v>2500</v>
      </c>
      <c r="D19" s="106">
        <f t="shared" si="1"/>
        <v>625000</v>
      </c>
      <c r="E19" s="135">
        <f t="shared" si="7"/>
        <v>53242.5</v>
      </c>
      <c r="F19" s="135">
        <f t="shared" si="8"/>
        <v>84725</v>
      </c>
      <c r="G19" s="135">
        <f t="shared" si="2"/>
        <v>137967.5</v>
      </c>
      <c r="H19" s="136"/>
      <c r="I19" s="135">
        <f t="shared" si="9"/>
        <v>64811.25</v>
      </c>
      <c r="J19" s="135">
        <f t="shared" si="10"/>
        <v>84725</v>
      </c>
      <c r="K19" s="135">
        <f t="shared" si="3"/>
        <v>149536.25</v>
      </c>
      <c r="L19" s="136"/>
      <c r="M19" s="135">
        <f t="shared" si="11"/>
        <v>11568.75</v>
      </c>
      <c r="N19" s="137">
        <f t="shared" si="4"/>
        <v>8.3851269320673341E-2</v>
      </c>
      <c r="O19" s="135"/>
      <c r="P19" s="135">
        <f t="shared" si="12"/>
        <v>66655</v>
      </c>
      <c r="Q19" s="135">
        <f t="shared" si="13"/>
        <v>84725</v>
      </c>
      <c r="R19" s="135">
        <f t="shared" si="5"/>
        <v>151380</v>
      </c>
      <c r="S19" s="136"/>
      <c r="T19" s="135">
        <f t="shared" si="14"/>
        <v>1843.75</v>
      </c>
      <c r="U19" s="137">
        <f t="shared" si="15"/>
        <v>1.2329786255840976E-2</v>
      </c>
      <c r="V19" s="135"/>
      <c r="W19" s="135">
        <f t="shared" si="18"/>
        <v>66530</v>
      </c>
      <c r="X19" s="135">
        <f t="shared" si="19"/>
        <v>84725</v>
      </c>
      <c r="Y19" s="135">
        <f t="shared" si="6"/>
        <v>151255</v>
      </c>
      <c r="Z19" s="136"/>
      <c r="AA19" s="135">
        <f t="shared" si="16"/>
        <v>-125</v>
      </c>
      <c r="AB19" s="137">
        <f t="shared" si="17"/>
        <v>-8.2573655700885189E-4</v>
      </c>
      <c r="AC19" s="136"/>
      <c r="AD19" s="136"/>
      <c r="AE19" s="136"/>
      <c r="AF19" s="136"/>
    </row>
    <row r="20" spans="1:32" x14ac:dyDescent="0.3">
      <c r="A20" s="1">
        <f t="shared" si="0"/>
        <v>20</v>
      </c>
      <c r="B20" s="31" t="s">
        <v>52</v>
      </c>
      <c r="C20" s="105">
        <v>920</v>
      </c>
      <c r="D20" s="106">
        <f t="shared" si="1"/>
        <v>230000</v>
      </c>
      <c r="E20" s="135">
        <f t="shared" si="7"/>
        <v>20181</v>
      </c>
      <c r="F20" s="135">
        <f t="shared" si="8"/>
        <v>31178.799999999999</v>
      </c>
      <c r="G20" s="135">
        <f t="shared" si="2"/>
        <v>51359.8</v>
      </c>
      <c r="H20" s="136"/>
      <c r="I20" s="135">
        <f t="shared" si="9"/>
        <v>24438.3</v>
      </c>
      <c r="J20" s="135">
        <f t="shared" si="10"/>
        <v>31178.799999999999</v>
      </c>
      <c r="K20" s="135">
        <f t="shared" si="3"/>
        <v>55617.1</v>
      </c>
      <c r="L20" s="136"/>
      <c r="M20" s="135">
        <f t="shared" si="11"/>
        <v>4257.2999999999956</v>
      </c>
      <c r="N20" s="137">
        <f t="shared" si="4"/>
        <v>8.2891677927094648E-2</v>
      </c>
      <c r="O20" s="135"/>
      <c r="P20" s="135">
        <f t="shared" si="12"/>
        <v>25116.799999999999</v>
      </c>
      <c r="Q20" s="135">
        <f t="shared" si="13"/>
        <v>31178.799999999999</v>
      </c>
      <c r="R20" s="135">
        <f t="shared" si="5"/>
        <v>56295.6</v>
      </c>
      <c r="S20" s="136"/>
      <c r="T20" s="135">
        <f t="shared" si="14"/>
        <v>678.5</v>
      </c>
      <c r="U20" s="137">
        <f t="shared" si="15"/>
        <v>1.2199485410062733E-2</v>
      </c>
      <c r="V20" s="135"/>
      <c r="W20" s="135">
        <f t="shared" si="18"/>
        <v>25070.799999999999</v>
      </c>
      <c r="X20" s="135">
        <f t="shared" si="19"/>
        <v>31178.799999999999</v>
      </c>
      <c r="Y20" s="135">
        <f t="shared" si="6"/>
        <v>56249.599999999999</v>
      </c>
      <c r="Z20" s="136"/>
      <c r="AA20" s="135">
        <f t="shared" si="16"/>
        <v>-46</v>
      </c>
      <c r="AB20" s="137">
        <f t="shared" si="17"/>
        <v>-8.171153695848344E-4</v>
      </c>
      <c r="AC20" s="136"/>
      <c r="AD20" s="136"/>
      <c r="AE20" s="136"/>
      <c r="AF20" s="136"/>
    </row>
    <row r="21" spans="1:32" x14ac:dyDescent="0.3">
      <c r="A21" s="1">
        <f t="shared" si="0"/>
        <v>21</v>
      </c>
      <c r="B21" s="31"/>
      <c r="C21" s="158"/>
      <c r="D21" s="158"/>
      <c r="E21" s="135"/>
      <c r="F21" s="135"/>
      <c r="G21" s="153"/>
      <c r="H21" s="159"/>
      <c r="I21" s="135"/>
      <c r="J21" s="135"/>
      <c r="K21" s="153"/>
      <c r="L21" s="159"/>
      <c r="M21" s="153"/>
      <c r="N21" s="160"/>
      <c r="O21" s="153"/>
      <c r="P21" s="135"/>
      <c r="Q21" s="135"/>
      <c r="R21" s="153"/>
      <c r="S21" s="159"/>
      <c r="T21" s="135"/>
      <c r="U21" s="137"/>
      <c r="V21" s="153"/>
      <c r="W21" s="135"/>
      <c r="X21" s="135"/>
      <c r="Y21" s="153"/>
      <c r="Z21" s="159"/>
      <c r="AA21" s="135"/>
      <c r="AB21" s="137"/>
    </row>
    <row r="22" spans="1:32" x14ac:dyDescent="0.3">
      <c r="A22" s="1">
        <f t="shared" si="0"/>
        <v>22</v>
      </c>
      <c r="B22" s="31"/>
      <c r="C22" s="164" t="s">
        <v>126</v>
      </c>
      <c r="D22" s="104">
        <v>400</v>
      </c>
      <c r="E22" s="135"/>
      <c r="F22" s="135"/>
      <c r="G22" s="136"/>
      <c r="H22" s="136"/>
      <c r="I22" s="135"/>
      <c r="J22" s="135"/>
      <c r="K22" s="136"/>
      <c r="L22" s="136"/>
      <c r="M22" s="136"/>
      <c r="N22" s="44"/>
      <c r="O22" s="136"/>
      <c r="P22" s="135"/>
      <c r="Q22" s="135"/>
      <c r="R22" s="136"/>
      <c r="S22" s="136"/>
      <c r="T22" s="135"/>
      <c r="U22" s="137"/>
      <c r="V22" s="136"/>
      <c r="W22" s="135"/>
      <c r="X22" s="135"/>
      <c r="Y22" s="136"/>
      <c r="Z22" s="136"/>
      <c r="AA22" s="135"/>
      <c r="AB22" s="137"/>
    </row>
    <row r="23" spans="1:32" x14ac:dyDescent="0.3">
      <c r="A23" s="1">
        <f t="shared" si="0"/>
        <v>23</v>
      </c>
      <c r="B23" s="31"/>
      <c r="C23" s="105">
        <v>220</v>
      </c>
      <c r="D23" s="106">
        <f t="shared" ref="D23:D28" si="20">C23*$D$22</f>
        <v>88000</v>
      </c>
      <c r="E23" s="135">
        <f t="shared" si="7"/>
        <v>6113.64</v>
      </c>
      <c r="F23" s="135">
        <f t="shared" si="8"/>
        <v>11929.28</v>
      </c>
      <c r="G23" s="135">
        <f t="shared" ref="G23:G28" si="21">SUM(E23:F23)</f>
        <v>18042.920000000002</v>
      </c>
      <c r="H23" s="136"/>
      <c r="I23" s="135">
        <f t="shared" si="9"/>
        <v>7742.52</v>
      </c>
      <c r="J23" s="135">
        <f t="shared" si="10"/>
        <v>11929.28</v>
      </c>
      <c r="K23" s="135">
        <f t="shared" ref="K23:K28" si="22">SUM(I23:J23)</f>
        <v>19671.800000000003</v>
      </c>
      <c r="L23" s="136"/>
      <c r="M23" s="135">
        <f t="shared" ref="M23:M28" si="23">+K23-G23</f>
        <v>1628.880000000001</v>
      </c>
      <c r="N23" s="137">
        <f t="shared" ref="N23:N28" si="24">+M23/G23</f>
        <v>9.0278070290174803E-2</v>
      </c>
      <c r="O23" s="135"/>
      <c r="P23" s="135">
        <f t="shared" si="12"/>
        <v>8002.12</v>
      </c>
      <c r="Q23" s="135">
        <f t="shared" si="13"/>
        <v>11929.28</v>
      </c>
      <c r="R23" s="135">
        <f t="shared" ref="R23:R28" si="25">SUM(P23:Q23)</f>
        <v>19931.400000000001</v>
      </c>
      <c r="S23" s="136"/>
      <c r="T23" s="135">
        <f t="shared" si="14"/>
        <v>259.59999999999854</v>
      </c>
      <c r="U23" s="137">
        <f t="shared" si="15"/>
        <v>1.3196555475350426E-2</v>
      </c>
      <c r="V23" s="135"/>
      <c r="W23" s="135">
        <f t="shared" si="18"/>
        <v>7984.52</v>
      </c>
      <c r="X23" s="135">
        <f t="shared" si="19"/>
        <v>11929.28</v>
      </c>
      <c r="Y23" s="135">
        <f t="shared" ref="Y23:Y28" si="26">SUM(W23:X23)</f>
        <v>19913.800000000003</v>
      </c>
      <c r="Z23" s="136"/>
      <c r="AA23" s="135">
        <f t="shared" si="16"/>
        <v>-17.599999999998545</v>
      </c>
      <c r="AB23" s="137">
        <f t="shared" si="17"/>
        <v>-8.8302878874532361E-4</v>
      </c>
      <c r="AC23" s="136"/>
      <c r="AD23" s="136"/>
      <c r="AE23" s="136"/>
      <c r="AF23" s="136"/>
    </row>
    <row r="24" spans="1:32" x14ac:dyDescent="0.3">
      <c r="A24" s="1">
        <f t="shared" si="0"/>
        <v>24</v>
      </c>
      <c r="B24" s="31"/>
      <c r="C24" s="105">
        <v>430</v>
      </c>
      <c r="D24" s="106">
        <f t="shared" si="20"/>
        <v>172000</v>
      </c>
      <c r="E24" s="135">
        <f t="shared" si="7"/>
        <v>11061.66</v>
      </c>
      <c r="F24" s="135">
        <f t="shared" si="8"/>
        <v>23316.32</v>
      </c>
      <c r="G24" s="135">
        <f t="shared" si="21"/>
        <v>34377.979999999996</v>
      </c>
      <c r="H24" s="136"/>
      <c r="I24" s="135">
        <f t="shared" si="9"/>
        <v>14245.38</v>
      </c>
      <c r="J24" s="135">
        <f t="shared" si="10"/>
        <v>23316.32</v>
      </c>
      <c r="K24" s="135">
        <f t="shared" si="22"/>
        <v>37561.699999999997</v>
      </c>
      <c r="L24" s="136"/>
      <c r="M24" s="135">
        <f t="shared" si="23"/>
        <v>3183.7200000000012</v>
      </c>
      <c r="N24" s="137">
        <f t="shared" si="24"/>
        <v>9.2609280708174285E-2</v>
      </c>
      <c r="O24" s="135"/>
      <c r="P24" s="135">
        <f t="shared" si="12"/>
        <v>14752.78</v>
      </c>
      <c r="Q24" s="135">
        <f t="shared" si="13"/>
        <v>23316.32</v>
      </c>
      <c r="R24" s="135">
        <f t="shared" si="25"/>
        <v>38069.1</v>
      </c>
      <c r="S24" s="136"/>
      <c r="T24" s="135">
        <f t="shared" si="14"/>
        <v>507.40000000000146</v>
      </c>
      <c r="U24" s="137">
        <f t="shared" si="15"/>
        <v>1.3508440778772033E-2</v>
      </c>
      <c r="V24" s="135"/>
      <c r="W24" s="135">
        <f t="shared" si="18"/>
        <v>14718.38</v>
      </c>
      <c r="X24" s="135">
        <f t="shared" si="19"/>
        <v>23316.32</v>
      </c>
      <c r="Y24" s="135">
        <f t="shared" si="26"/>
        <v>38034.699999999997</v>
      </c>
      <c r="Z24" s="136"/>
      <c r="AA24" s="135">
        <f t="shared" si="16"/>
        <v>-34.400000000001455</v>
      </c>
      <c r="AB24" s="137">
        <f t="shared" si="17"/>
        <v>-9.0361999626997899E-4</v>
      </c>
      <c r="AC24" s="136"/>
      <c r="AD24" s="136"/>
      <c r="AE24" s="136"/>
      <c r="AF24" s="136"/>
    </row>
    <row r="25" spans="1:32" x14ac:dyDescent="0.3">
      <c r="A25" s="1">
        <f t="shared" si="0"/>
        <v>25</v>
      </c>
      <c r="B25" s="31"/>
      <c r="C25" s="105">
        <v>630</v>
      </c>
      <c r="D25" s="106">
        <f t="shared" si="20"/>
        <v>252000</v>
      </c>
      <c r="E25" s="135">
        <f>ROUND($G$72+$C25*$G$73+$D25*$G$74,2)</f>
        <v>15774.06</v>
      </c>
      <c r="F25" s="135">
        <f t="shared" si="8"/>
        <v>34161.120000000003</v>
      </c>
      <c r="G25" s="135">
        <f t="shared" si="21"/>
        <v>49935.18</v>
      </c>
      <c r="H25" s="136"/>
      <c r="I25" s="135">
        <f t="shared" si="9"/>
        <v>20438.580000000002</v>
      </c>
      <c r="J25" s="135">
        <f t="shared" si="10"/>
        <v>34161.120000000003</v>
      </c>
      <c r="K25" s="135">
        <f t="shared" si="22"/>
        <v>54599.700000000004</v>
      </c>
      <c r="L25" s="136"/>
      <c r="M25" s="135">
        <f t="shared" si="23"/>
        <v>4664.5200000000041</v>
      </c>
      <c r="N25" s="137">
        <f t="shared" si="24"/>
        <v>9.3411498666871817E-2</v>
      </c>
      <c r="O25" s="135"/>
      <c r="P25" s="135">
        <f>ROUND($J$72+$C25*$J$73+$D25*$J$74,2)</f>
        <v>21181.98</v>
      </c>
      <c r="Q25" s="135">
        <f t="shared" si="13"/>
        <v>34161.120000000003</v>
      </c>
      <c r="R25" s="135">
        <f t="shared" si="25"/>
        <v>55343.100000000006</v>
      </c>
      <c r="S25" s="136"/>
      <c r="T25" s="135">
        <f t="shared" si="14"/>
        <v>743.40000000000146</v>
      </c>
      <c r="U25" s="137">
        <f t="shared" si="15"/>
        <v>1.3615459425601266E-2</v>
      </c>
      <c r="V25" s="135"/>
      <c r="W25" s="135">
        <f t="shared" si="18"/>
        <v>21131.58</v>
      </c>
      <c r="X25" s="135">
        <f t="shared" si="19"/>
        <v>34161.120000000003</v>
      </c>
      <c r="Y25" s="135">
        <f t="shared" si="26"/>
        <v>55292.700000000004</v>
      </c>
      <c r="Z25" s="136"/>
      <c r="AA25" s="135">
        <f t="shared" si="16"/>
        <v>-50.400000000001455</v>
      </c>
      <c r="AB25" s="137">
        <f t="shared" si="17"/>
        <v>-9.1068263252332181E-4</v>
      </c>
      <c r="AC25" s="136"/>
      <c r="AD25" s="136"/>
      <c r="AE25" s="136"/>
      <c r="AF25" s="136"/>
    </row>
    <row r="26" spans="1:32" x14ac:dyDescent="0.3">
      <c r="A26" s="1">
        <f t="shared" si="0"/>
        <v>26</v>
      </c>
      <c r="B26" s="31"/>
      <c r="C26" s="105">
        <v>900</v>
      </c>
      <c r="D26" s="106">
        <f t="shared" si="20"/>
        <v>360000</v>
      </c>
      <c r="E26" s="135">
        <f t="shared" si="7"/>
        <v>22135.8</v>
      </c>
      <c r="F26" s="135">
        <f>ROUND($G$75*$D26,2)</f>
        <v>48801.599999999999</v>
      </c>
      <c r="G26" s="135">
        <f t="shared" si="21"/>
        <v>70937.399999999994</v>
      </c>
      <c r="H26" s="136"/>
      <c r="I26" s="135">
        <f>ROUND($I$72+$C26*$I$73+$D26*$I$74,2)</f>
        <v>28799.4</v>
      </c>
      <c r="J26" s="135">
        <f t="shared" si="10"/>
        <v>48801.599999999999</v>
      </c>
      <c r="K26" s="135">
        <f t="shared" si="22"/>
        <v>77601</v>
      </c>
      <c r="L26" s="136"/>
      <c r="M26" s="135">
        <f t="shared" si="23"/>
        <v>6663.6000000000058</v>
      </c>
      <c r="N26" s="137">
        <f t="shared" si="24"/>
        <v>9.3936343875022296E-2</v>
      </c>
      <c r="O26" s="135"/>
      <c r="P26" s="135">
        <f t="shared" si="12"/>
        <v>29861.4</v>
      </c>
      <c r="Q26" s="135">
        <f t="shared" si="13"/>
        <v>48801.599999999999</v>
      </c>
      <c r="R26" s="135">
        <f t="shared" si="25"/>
        <v>78663</v>
      </c>
      <c r="S26" s="136"/>
      <c r="T26" s="135">
        <f t="shared" si="14"/>
        <v>1062</v>
      </c>
      <c r="U26" s="137">
        <f t="shared" si="15"/>
        <v>1.3685390652182317E-2</v>
      </c>
      <c r="V26" s="135"/>
      <c r="W26" s="135">
        <f>ROUND($K$72+$C26*$K$73+$D26*$K$74,2)</f>
        <v>29789.4</v>
      </c>
      <c r="X26" s="135">
        <f t="shared" si="19"/>
        <v>48801.599999999999</v>
      </c>
      <c r="Y26" s="135">
        <f t="shared" si="26"/>
        <v>78591</v>
      </c>
      <c r="Z26" s="136"/>
      <c r="AA26" s="135">
        <f t="shared" si="16"/>
        <v>-72</v>
      </c>
      <c r="AB26" s="137">
        <f t="shared" si="17"/>
        <v>-9.1529689943175316E-4</v>
      </c>
      <c r="AC26" s="136"/>
      <c r="AD26" s="136"/>
      <c r="AE26" s="136"/>
      <c r="AF26" s="136"/>
    </row>
    <row r="27" spans="1:32" x14ac:dyDescent="0.3">
      <c r="A27" s="1">
        <f t="shared" si="0"/>
        <v>27</v>
      </c>
      <c r="B27" s="31"/>
      <c r="C27" s="105">
        <v>2500</v>
      </c>
      <c r="D27" s="106">
        <f t="shared" si="20"/>
        <v>1000000</v>
      </c>
      <c r="E27" s="135">
        <f t="shared" si="7"/>
        <v>59835</v>
      </c>
      <c r="F27" s="135">
        <f t="shared" si="8"/>
        <v>135560</v>
      </c>
      <c r="G27" s="135">
        <f t="shared" si="21"/>
        <v>195395</v>
      </c>
      <c r="H27" s="136"/>
      <c r="I27" s="135">
        <f t="shared" si="9"/>
        <v>78345</v>
      </c>
      <c r="J27" s="135">
        <f>ROUND($I$75*$D27,2)</f>
        <v>135560</v>
      </c>
      <c r="K27" s="135">
        <f t="shared" si="22"/>
        <v>213905</v>
      </c>
      <c r="L27" s="136"/>
      <c r="M27" s="135">
        <f t="shared" si="23"/>
        <v>18510</v>
      </c>
      <c r="N27" s="137">
        <f t="shared" si="24"/>
        <v>9.4731185547224858E-2</v>
      </c>
      <c r="O27" s="135"/>
      <c r="P27" s="135">
        <f t="shared" si="12"/>
        <v>81295</v>
      </c>
      <c r="Q27" s="135">
        <f>ROUND($J$75*$D27,2)</f>
        <v>135560</v>
      </c>
      <c r="R27" s="135">
        <f t="shared" si="25"/>
        <v>216855</v>
      </c>
      <c r="S27" s="136"/>
      <c r="T27" s="135">
        <f t="shared" si="14"/>
        <v>2950</v>
      </c>
      <c r="U27" s="137">
        <f t="shared" si="15"/>
        <v>1.379116897688226E-2</v>
      </c>
      <c r="V27" s="135"/>
      <c r="W27" s="135">
        <f t="shared" si="18"/>
        <v>81095</v>
      </c>
      <c r="X27" s="135">
        <f>ROUND($K$75*$D27,2)</f>
        <v>135560</v>
      </c>
      <c r="Y27" s="135">
        <f t="shared" si="26"/>
        <v>216655</v>
      </c>
      <c r="Z27" s="136"/>
      <c r="AA27" s="135">
        <f t="shared" si="16"/>
        <v>-200</v>
      </c>
      <c r="AB27" s="137">
        <f t="shared" si="17"/>
        <v>-9.2227525304927258E-4</v>
      </c>
      <c r="AC27" s="136"/>
      <c r="AD27" s="136"/>
      <c r="AE27" s="136"/>
      <c r="AF27" s="136"/>
    </row>
    <row r="28" spans="1:32" x14ac:dyDescent="0.3">
      <c r="A28" s="1">
        <f t="shared" si="0"/>
        <v>28</v>
      </c>
      <c r="B28" s="31" t="s">
        <v>52</v>
      </c>
      <c r="C28" s="106">
        <v>933</v>
      </c>
      <c r="D28" s="106">
        <f t="shared" si="20"/>
        <v>373200</v>
      </c>
      <c r="E28" s="135">
        <f t="shared" si="7"/>
        <v>22913.35</v>
      </c>
      <c r="F28" s="135">
        <f t="shared" si="8"/>
        <v>50590.99</v>
      </c>
      <c r="G28" s="135">
        <f t="shared" si="21"/>
        <v>73504.34</v>
      </c>
      <c r="H28" s="136"/>
      <c r="I28" s="135">
        <f t="shared" si="9"/>
        <v>29821.279999999999</v>
      </c>
      <c r="J28" s="135">
        <f t="shared" si="10"/>
        <v>50590.99</v>
      </c>
      <c r="K28" s="135">
        <f t="shared" si="22"/>
        <v>80412.26999999999</v>
      </c>
      <c r="L28" s="136"/>
      <c r="M28" s="135">
        <f t="shared" si="23"/>
        <v>6907.929999999993</v>
      </c>
      <c r="N28" s="137">
        <f t="shared" si="24"/>
        <v>9.3979892887957273E-2</v>
      </c>
      <c r="O28" s="135"/>
      <c r="P28" s="135">
        <f t="shared" si="12"/>
        <v>30922.22</v>
      </c>
      <c r="Q28" s="135">
        <f t="shared" si="13"/>
        <v>50590.99</v>
      </c>
      <c r="R28" s="135">
        <f t="shared" si="25"/>
        <v>81513.209999999992</v>
      </c>
      <c r="S28" s="136"/>
      <c r="T28" s="135">
        <f t="shared" si="14"/>
        <v>1100.9400000000023</v>
      </c>
      <c r="U28" s="137">
        <f t="shared" si="15"/>
        <v>1.3691194142386509E-2</v>
      </c>
      <c r="V28" s="135"/>
      <c r="W28" s="135">
        <f t="shared" si="18"/>
        <v>30847.58</v>
      </c>
      <c r="X28" s="135">
        <f t="shared" si="19"/>
        <v>50590.99</v>
      </c>
      <c r="Y28" s="135">
        <f t="shared" si="26"/>
        <v>81438.570000000007</v>
      </c>
      <c r="Z28" s="136"/>
      <c r="AA28" s="135">
        <f t="shared" si="16"/>
        <v>-74.639999999984866</v>
      </c>
      <c r="AB28" s="137">
        <f t="shared" si="17"/>
        <v>-9.1567980208342764E-4</v>
      </c>
      <c r="AC28" s="136"/>
      <c r="AD28" s="136"/>
      <c r="AE28" s="136"/>
      <c r="AF28" s="136"/>
    </row>
    <row r="29" spans="1:32" x14ac:dyDescent="0.3">
      <c r="A29" s="1">
        <f t="shared" si="0"/>
        <v>29</v>
      </c>
      <c r="B29" s="31"/>
      <c r="C29" s="158"/>
      <c r="D29" s="158"/>
      <c r="E29" s="135"/>
      <c r="F29" s="135"/>
      <c r="G29" s="153"/>
      <c r="H29" s="159"/>
      <c r="I29" s="135"/>
      <c r="J29" s="135"/>
      <c r="K29" s="153"/>
      <c r="L29" s="159"/>
      <c r="M29" s="153"/>
      <c r="N29" s="160"/>
      <c r="O29" s="153"/>
      <c r="P29" s="135"/>
      <c r="Q29" s="135"/>
      <c r="R29" s="153"/>
      <c r="S29" s="159"/>
      <c r="T29" s="135"/>
      <c r="U29" s="137"/>
      <c r="V29" s="153"/>
      <c r="W29" s="135"/>
      <c r="X29" s="135"/>
      <c r="Y29" s="153"/>
      <c r="Z29" s="159"/>
      <c r="AA29" s="135"/>
      <c r="AB29" s="137"/>
    </row>
    <row r="30" spans="1:32" x14ac:dyDescent="0.3">
      <c r="A30" s="1">
        <f t="shared" si="0"/>
        <v>30</v>
      </c>
      <c r="B30" s="31"/>
      <c r="C30" s="164" t="s">
        <v>126</v>
      </c>
      <c r="D30" s="104">
        <v>535</v>
      </c>
      <c r="E30" s="135"/>
      <c r="F30" s="135"/>
      <c r="G30" s="136"/>
      <c r="H30" s="136"/>
      <c r="I30" s="135"/>
      <c r="J30" s="135"/>
      <c r="K30" s="136"/>
      <c r="L30" s="136"/>
      <c r="M30" s="136"/>
      <c r="N30" s="44"/>
      <c r="O30" s="136"/>
      <c r="P30" s="135"/>
      <c r="Q30" s="135"/>
      <c r="R30" s="136"/>
      <c r="S30" s="136"/>
      <c r="T30" s="135"/>
      <c r="U30" s="137"/>
      <c r="V30" s="136"/>
      <c r="W30" s="135"/>
      <c r="X30" s="135"/>
      <c r="Y30" s="136"/>
      <c r="Z30" s="136"/>
      <c r="AA30" s="135"/>
      <c r="AB30" s="137"/>
    </row>
    <row r="31" spans="1:32" x14ac:dyDescent="0.3">
      <c r="A31" s="1">
        <f t="shared" si="0"/>
        <v>31</v>
      </c>
      <c r="B31" s="31"/>
      <c r="C31" s="105">
        <v>165</v>
      </c>
      <c r="D31" s="106">
        <f t="shared" ref="D31:D36" si="27">C31*$D$30</f>
        <v>88275</v>
      </c>
      <c r="E31" s="135">
        <f t="shared" si="7"/>
        <v>5209.32</v>
      </c>
      <c r="F31" s="135">
        <f t="shared" si="8"/>
        <v>11966.56</v>
      </c>
      <c r="G31" s="135">
        <f t="shared" ref="G31:G36" si="28">SUM(E31:F31)</f>
        <v>17175.879999999997</v>
      </c>
      <c r="H31" s="136"/>
      <c r="I31" s="135">
        <f t="shared" si="9"/>
        <v>6843.29</v>
      </c>
      <c r="J31" s="135">
        <f t="shared" si="10"/>
        <v>11966.56</v>
      </c>
      <c r="K31" s="135">
        <f t="shared" ref="K31:K36" si="29">SUM(I31:J31)</f>
        <v>18809.849999999999</v>
      </c>
      <c r="L31" s="136"/>
      <c r="M31" s="135">
        <f t="shared" ref="M31:M36" si="30">+K31-G31</f>
        <v>1633.9700000000012</v>
      </c>
      <c r="N31" s="137">
        <f t="shared" ref="N31:N36" si="31">+M31/G31</f>
        <v>9.5131661376302204E-2</v>
      </c>
      <c r="O31" s="135"/>
      <c r="P31" s="135">
        <f t="shared" si="12"/>
        <v>7103.71</v>
      </c>
      <c r="Q31" s="135">
        <f t="shared" si="13"/>
        <v>11966.56</v>
      </c>
      <c r="R31" s="135">
        <f t="shared" ref="R31:R36" si="32">SUM(P31:Q31)</f>
        <v>19070.27</v>
      </c>
      <c r="S31" s="136"/>
      <c r="T31" s="135">
        <f t="shared" si="14"/>
        <v>260.42000000000189</v>
      </c>
      <c r="U31" s="137">
        <f t="shared" si="15"/>
        <v>1.3844873829403314E-2</v>
      </c>
      <c r="V31" s="135"/>
      <c r="W31" s="135">
        <f t="shared" si="18"/>
        <v>7086.05</v>
      </c>
      <c r="X31" s="135">
        <f t="shared" si="19"/>
        <v>11966.56</v>
      </c>
      <c r="Y31" s="135">
        <f t="shared" ref="Y31:Y36" si="33">SUM(W31:X31)</f>
        <v>19052.61</v>
      </c>
      <c r="Z31" s="136"/>
      <c r="AA31" s="135">
        <f t="shared" si="16"/>
        <v>-17.659999999999854</v>
      </c>
      <c r="AB31" s="137">
        <f t="shared" si="17"/>
        <v>-9.2604876595873335E-4</v>
      </c>
      <c r="AC31" s="17"/>
      <c r="AD31" s="136"/>
      <c r="AE31" s="136"/>
      <c r="AF31" s="136"/>
    </row>
    <row r="32" spans="1:32" x14ac:dyDescent="0.3">
      <c r="A32" s="1">
        <f t="shared" si="0"/>
        <v>32</v>
      </c>
      <c r="B32" s="31"/>
      <c r="C32" s="105">
        <v>380</v>
      </c>
      <c r="D32" s="106">
        <f t="shared" si="27"/>
        <v>203300</v>
      </c>
      <c r="E32" s="135">
        <f t="shared" si="7"/>
        <v>10785.41</v>
      </c>
      <c r="F32" s="135">
        <f>ROUND($G$75*$D32,2)</f>
        <v>27559.35</v>
      </c>
      <c r="G32" s="135">
        <f t="shared" si="28"/>
        <v>38344.759999999995</v>
      </c>
      <c r="H32" s="136"/>
      <c r="I32" s="135">
        <f t="shared" si="9"/>
        <v>14548.5</v>
      </c>
      <c r="J32" s="135">
        <f t="shared" si="10"/>
        <v>27559.35</v>
      </c>
      <c r="K32" s="135">
        <f t="shared" si="29"/>
        <v>42107.85</v>
      </c>
      <c r="L32" s="136"/>
      <c r="M32" s="135">
        <f t="shared" si="30"/>
        <v>3763.0900000000038</v>
      </c>
      <c r="N32" s="137">
        <f t="shared" si="31"/>
        <v>9.8138311466808098E-2</v>
      </c>
      <c r="O32" s="135"/>
      <c r="P32" s="135">
        <f>ROUND($J$72+$C32*$J$73+$D32*$J$74,2)</f>
        <v>15148.23</v>
      </c>
      <c r="Q32" s="135">
        <f t="shared" si="13"/>
        <v>27559.35</v>
      </c>
      <c r="R32" s="135">
        <f t="shared" si="32"/>
        <v>42707.58</v>
      </c>
      <c r="S32" s="136"/>
      <c r="T32" s="135">
        <f t="shared" si="14"/>
        <v>599.7300000000032</v>
      </c>
      <c r="U32" s="137">
        <f t="shared" si="15"/>
        <v>1.4242712463353109E-2</v>
      </c>
      <c r="V32" s="135"/>
      <c r="W32" s="135">
        <f t="shared" si="18"/>
        <v>15107.57</v>
      </c>
      <c r="X32" s="135">
        <f t="shared" si="19"/>
        <v>27559.35</v>
      </c>
      <c r="Y32" s="135">
        <f t="shared" si="33"/>
        <v>42666.92</v>
      </c>
      <c r="Z32" s="136"/>
      <c r="AA32" s="135">
        <f t="shared" si="16"/>
        <v>-40.660000000003492</v>
      </c>
      <c r="AB32" s="137">
        <f t="shared" si="17"/>
        <v>-9.5205581772611538E-4</v>
      </c>
      <c r="AC32" s="17"/>
      <c r="AD32" s="136"/>
      <c r="AE32" s="136"/>
      <c r="AF32" s="136"/>
    </row>
    <row r="33" spans="1:32" x14ac:dyDescent="0.3">
      <c r="A33" s="1">
        <f t="shared" si="0"/>
        <v>33</v>
      </c>
      <c r="B33" s="31"/>
      <c r="C33" s="105">
        <v>570</v>
      </c>
      <c r="D33" s="106">
        <f t="shared" si="27"/>
        <v>304950</v>
      </c>
      <c r="E33" s="135">
        <f>ROUND($G$72+$C33*$G$73+$D33*$G$74,2)</f>
        <v>15713.12</v>
      </c>
      <c r="F33" s="135">
        <f t="shared" si="8"/>
        <v>41339.019999999997</v>
      </c>
      <c r="G33" s="135">
        <f t="shared" si="28"/>
        <v>57052.14</v>
      </c>
      <c r="H33" s="136"/>
      <c r="I33" s="135">
        <f>ROUND($I$72+$C33*$I$73+$D33*$I$74,2)</f>
        <v>21357.75</v>
      </c>
      <c r="J33" s="135">
        <f>ROUND($I$75*$D33,2)</f>
        <v>41339.019999999997</v>
      </c>
      <c r="K33" s="135">
        <f t="shared" si="29"/>
        <v>62696.77</v>
      </c>
      <c r="L33" s="136"/>
      <c r="M33" s="135">
        <f t="shared" si="30"/>
        <v>5644.6299999999974</v>
      </c>
      <c r="N33" s="137">
        <f t="shared" si="31"/>
        <v>9.8938094171401758E-2</v>
      </c>
      <c r="O33" s="135"/>
      <c r="P33" s="135">
        <f t="shared" si="12"/>
        <v>22257.35</v>
      </c>
      <c r="Q33" s="135">
        <f t="shared" si="13"/>
        <v>41339.019999999997</v>
      </c>
      <c r="R33" s="135">
        <f t="shared" si="32"/>
        <v>63596.369999999995</v>
      </c>
      <c r="S33" s="136"/>
      <c r="T33" s="135">
        <f t="shared" si="14"/>
        <v>899.59999999999854</v>
      </c>
      <c r="U33" s="137">
        <f t="shared" si="15"/>
        <v>1.4348426561687286E-2</v>
      </c>
      <c r="V33" s="135"/>
      <c r="W33" s="135">
        <f>ROUND($K$72+$C33*$K$73+$D33*$K$74,2)</f>
        <v>22196.36</v>
      </c>
      <c r="X33" s="135">
        <f t="shared" si="19"/>
        <v>41339.019999999997</v>
      </c>
      <c r="Y33" s="135">
        <f t="shared" si="33"/>
        <v>63535.38</v>
      </c>
      <c r="Z33" s="136"/>
      <c r="AA33" s="135">
        <f t="shared" si="16"/>
        <v>-60.989999999997963</v>
      </c>
      <c r="AB33" s="137">
        <f t="shared" si="17"/>
        <v>-9.5901700049858137E-4</v>
      </c>
      <c r="AC33" s="17"/>
      <c r="AD33" s="136"/>
      <c r="AE33" s="136"/>
      <c r="AF33" s="136"/>
    </row>
    <row r="34" spans="1:32" x14ac:dyDescent="0.3">
      <c r="A34" s="1">
        <f t="shared" si="0"/>
        <v>34</v>
      </c>
      <c r="B34" s="31"/>
      <c r="C34" s="105">
        <v>1100</v>
      </c>
      <c r="D34" s="106">
        <f t="shared" si="27"/>
        <v>588500</v>
      </c>
      <c r="E34" s="135">
        <f t="shared" si="7"/>
        <v>29458.83</v>
      </c>
      <c r="F34" s="135">
        <f t="shared" si="8"/>
        <v>79777.06</v>
      </c>
      <c r="G34" s="135">
        <f t="shared" si="28"/>
        <v>109235.89</v>
      </c>
      <c r="H34" s="136"/>
      <c r="I34" s="135">
        <f t="shared" si="9"/>
        <v>40351.97</v>
      </c>
      <c r="J34" s="135">
        <f t="shared" si="10"/>
        <v>79777.06</v>
      </c>
      <c r="K34" s="135">
        <f t="shared" si="29"/>
        <v>120129.03</v>
      </c>
      <c r="L34" s="136"/>
      <c r="M34" s="135">
        <f t="shared" si="30"/>
        <v>10893.14</v>
      </c>
      <c r="N34" s="137">
        <f t="shared" si="31"/>
        <v>9.9721254616957841E-2</v>
      </c>
      <c r="O34" s="135"/>
      <c r="P34" s="135">
        <f t="shared" si="12"/>
        <v>42088.04</v>
      </c>
      <c r="Q34" s="135">
        <f>ROUND($J$75*$D34,2)</f>
        <v>79777.06</v>
      </c>
      <c r="R34" s="135">
        <f t="shared" si="32"/>
        <v>121865.1</v>
      </c>
      <c r="S34" s="136"/>
      <c r="T34" s="135">
        <f t="shared" si="14"/>
        <v>1736.070000000007</v>
      </c>
      <c r="U34" s="137">
        <f t="shared" si="15"/>
        <v>1.4451710797964546E-2</v>
      </c>
      <c r="V34" s="135"/>
      <c r="W34" s="135">
        <f t="shared" si="18"/>
        <v>41970.34</v>
      </c>
      <c r="X34" s="135">
        <f>ROUND($K$75*$D34,2)</f>
        <v>79777.06</v>
      </c>
      <c r="Y34" s="135">
        <f t="shared" si="33"/>
        <v>121747.4</v>
      </c>
      <c r="Z34" s="136"/>
      <c r="AA34" s="135">
        <f t="shared" si="16"/>
        <v>-117.70000000001164</v>
      </c>
      <c r="AB34" s="137">
        <f t="shared" si="17"/>
        <v>-9.6582204421127654E-4</v>
      </c>
      <c r="AC34" s="17"/>
      <c r="AD34" s="136"/>
      <c r="AE34" s="136"/>
      <c r="AF34" s="136"/>
    </row>
    <row r="35" spans="1:32" x14ac:dyDescent="0.3">
      <c r="A35" s="1">
        <f t="shared" si="0"/>
        <v>35</v>
      </c>
      <c r="B35" s="31"/>
      <c r="C35" s="105">
        <v>2500</v>
      </c>
      <c r="D35" s="106">
        <f t="shared" si="27"/>
        <v>1337500</v>
      </c>
      <c r="E35" s="135">
        <f t="shared" si="7"/>
        <v>65768.25</v>
      </c>
      <c r="F35" s="135">
        <f t="shared" si="8"/>
        <v>181311.5</v>
      </c>
      <c r="G35" s="135">
        <f t="shared" si="28"/>
        <v>247079.75</v>
      </c>
      <c r="H35" s="136"/>
      <c r="I35" s="135">
        <f t="shared" si="9"/>
        <v>90525.38</v>
      </c>
      <c r="J35" s="135">
        <f t="shared" si="10"/>
        <v>181311.5</v>
      </c>
      <c r="K35" s="135">
        <f t="shared" si="29"/>
        <v>271836.88</v>
      </c>
      <c r="L35" s="136"/>
      <c r="M35" s="135">
        <f t="shared" si="30"/>
        <v>24757.130000000005</v>
      </c>
      <c r="N35" s="137">
        <f t="shared" si="31"/>
        <v>0.10019894386326683</v>
      </c>
      <c r="O35" s="135"/>
      <c r="P35" s="135">
        <f t="shared" si="12"/>
        <v>94471</v>
      </c>
      <c r="Q35" s="135">
        <f t="shared" si="13"/>
        <v>181311.5</v>
      </c>
      <c r="R35" s="135">
        <f t="shared" si="32"/>
        <v>275782.5</v>
      </c>
      <c r="S35" s="136"/>
      <c r="T35" s="135">
        <f t="shared" si="14"/>
        <v>3945.6199999999953</v>
      </c>
      <c r="U35" s="137">
        <f t="shared" si="15"/>
        <v>1.4514660409580904E-2</v>
      </c>
      <c r="V35" s="135"/>
      <c r="W35" s="135">
        <f t="shared" si="18"/>
        <v>94203.5</v>
      </c>
      <c r="X35" s="135">
        <f t="shared" si="19"/>
        <v>181311.5</v>
      </c>
      <c r="Y35" s="135">
        <f t="shared" si="33"/>
        <v>275515</v>
      </c>
      <c r="Z35" s="136"/>
      <c r="AA35" s="135">
        <f t="shared" si="16"/>
        <v>-267.5</v>
      </c>
      <c r="AB35" s="137">
        <f t="shared" si="17"/>
        <v>-9.699672749358643E-4</v>
      </c>
      <c r="AC35" s="17"/>
      <c r="AD35" s="136"/>
      <c r="AE35" s="136"/>
      <c r="AF35" s="136"/>
    </row>
    <row r="36" spans="1:32" x14ac:dyDescent="0.3">
      <c r="A36" s="1">
        <f t="shared" si="0"/>
        <v>36</v>
      </c>
      <c r="B36" s="31" t="s">
        <v>52</v>
      </c>
      <c r="C36" s="106">
        <v>930</v>
      </c>
      <c r="D36" s="106">
        <f t="shared" si="27"/>
        <v>497550</v>
      </c>
      <c r="E36" s="135">
        <f t="shared" si="7"/>
        <v>25049.83</v>
      </c>
      <c r="F36" s="135">
        <f t="shared" si="8"/>
        <v>67447.88</v>
      </c>
      <c r="G36" s="135">
        <f t="shared" si="28"/>
        <v>92497.71</v>
      </c>
      <c r="H36" s="136"/>
      <c r="I36" s="135">
        <f t="shared" si="9"/>
        <v>34259.480000000003</v>
      </c>
      <c r="J36" s="135">
        <f t="shared" si="10"/>
        <v>67447.88</v>
      </c>
      <c r="K36" s="135">
        <f t="shared" si="29"/>
        <v>101707.36000000002</v>
      </c>
      <c r="L36" s="136"/>
      <c r="M36" s="135">
        <f t="shared" si="30"/>
        <v>9209.6500000000087</v>
      </c>
      <c r="N36" s="137">
        <f t="shared" si="31"/>
        <v>9.956624872118465E-2</v>
      </c>
      <c r="O36" s="135"/>
      <c r="P36" s="135">
        <f t="shared" si="12"/>
        <v>35727.25</v>
      </c>
      <c r="Q36" s="135">
        <f t="shared" si="13"/>
        <v>67447.88</v>
      </c>
      <c r="R36" s="135">
        <f t="shared" si="32"/>
        <v>103175.13</v>
      </c>
      <c r="S36" s="136"/>
      <c r="T36" s="135">
        <f t="shared" si="14"/>
        <v>1467.7699999999895</v>
      </c>
      <c r="U36" s="137">
        <f t="shared" si="15"/>
        <v>1.4431305659688634E-2</v>
      </c>
      <c r="V36" s="135"/>
      <c r="W36" s="135">
        <f t="shared" si="18"/>
        <v>35627.74</v>
      </c>
      <c r="X36" s="135">
        <f t="shared" si="19"/>
        <v>67447.88</v>
      </c>
      <c r="Y36" s="135">
        <f t="shared" si="33"/>
        <v>103075.62</v>
      </c>
      <c r="Z36" s="136"/>
      <c r="AA36" s="135">
        <f t="shared" si="16"/>
        <v>-99.510000000009313</v>
      </c>
      <c r="AB36" s="137">
        <f t="shared" si="17"/>
        <v>-9.6447661369565812E-4</v>
      </c>
      <c r="AC36" s="17"/>
      <c r="AD36" s="136"/>
      <c r="AE36" s="136"/>
      <c r="AF36" s="136"/>
    </row>
    <row r="37" spans="1:32" x14ac:dyDescent="0.3">
      <c r="A37" s="1">
        <f t="shared" si="0"/>
        <v>37</v>
      </c>
      <c r="B37" s="31"/>
      <c r="C37" s="152"/>
      <c r="D37" s="152"/>
      <c r="E37" s="153"/>
      <c r="F37" s="153"/>
      <c r="G37" s="153"/>
      <c r="H37" s="159"/>
      <c r="I37" s="153"/>
      <c r="J37" s="153"/>
      <c r="K37" s="153"/>
      <c r="L37" s="159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60"/>
      <c r="AC37" s="188"/>
    </row>
    <row r="38" spans="1:32" x14ac:dyDescent="0.3">
      <c r="A38" s="1">
        <f t="shared" si="0"/>
        <v>38</v>
      </c>
      <c r="B38" s="31"/>
      <c r="C38" s="152"/>
      <c r="D38" s="152"/>
      <c r="E38" s="153"/>
      <c r="F38" s="153"/>
      <c r="G38" s="154"/>
      <c r="H38" s="155"/>
      <c r="I38" s="153"/>
      <c r="J38" s="153"/>
      <c r="K38" s="153"/>
      <c r="L38" s="156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60"/>
    </row>
    <row r="39" spans="1:32" x14ac:dyDescent="0.3">
      <c r="A39" s="1">
        <f t="shared" si="0"/>
        <v>39</v>
      </c>
      <c r="B39" s="31"/>
      <c r="C39" s="44" t="s">
        <v>53</v>
      </c>
      <c r="D39" s="44"/>
      <c r="E39" s="44"/>
      <c r="G39" s="45">
        <f>'EMA R1'!H28</f>
        <v>2024</v>
      </c>
      <c r="I39" s="45">
        <f>'EMA R1'!I28</f>
        <v>2025</v>
      </c>
      <c r="J39" s="45">
        <f>'EMA R1'!J28</f>
        <v>2026</v>
      </c>
      <c r="K39" s="45">
        <f>'EMA R1'!L28</f>
        <v>2027</v>
      </c>
      <c r="M39" s="45" t="str">
        <f>'EMA R1'!M28</f>
        <v>2025 v 2024</v>
      </c>
      <c r="N39" s="45" t="str">
        <f>'EMA R1'!O28</f>
        <v>2026 v 2025</v>
      </c>
      <c r="P39" s="45" t="str">
        <f>'EMA R1'!P28</f>
        <v>2027 v 2026</v>
      </c>
    </row>
    <row r="40" spans="1:32" x14ac:dyDescent="0.3">
      <c r="A40" s="1">
        <f t="shared" si="0"/>
        <v>40</v>
      </c>
      <c r="B40" s="31"/>
      <c r="C40" s="23" t="s">
        <v>53</v>
      </c>
      <c r="D40" s="23"/>
      <c r="E40" s="44"/>
      <c r="G40" s="47" t="s">
        <v>57</v>
      </c>
      <c r="I40" s="47" t="s">
        <v>57</v>
      </c>
      <c r="J40" s="47" t="s">
        <v>57</v>
      </c>
      <c r="K40" s="47" t="s">
        <v>57</v>
      </c>
      <c r="L40" s="37"/>
      <c r="M40" s="48" t="s">
        <v>51</v>
      </c>
      <c r="N40" s="48" t="s">
        <v>51</v>
      </c>
      <c r="O40" s="22"/>
      <c r="P40" s="48" t="s">
        <v>51</v>
      </c>
    </row>
    <row r="41" spans="1:32" x14ac:dyDescent="0.3">
      <c r="A41" s="1">
        <f t="shared" si="0"/>
        <v>41</v>
      </c>
      <c r="B41" s="31"/>
      <c r="C41" s="44" t="s">
        <v>58</v>
      </c>
      <c r="D41" s="44"/>
      <c r="E41" s="86"/>
      <c r="F41" s="136"/>
      <c r="G41" s="88">
        <v>930</v>
      </c>
      <c r="H41" s="88"/>
      <c r="I41" s="88">
        <f>G41</f>
        <v>930</v>
      </c>
      <c r="J41" s="88">
        <f>G41</f>
        <v>930</v>
      </c>
      <c r="K41" s="88">
        <f>G41</f>
        <v>930</v>
      </c>
      <c r="L41" s="88"/>
      <c r="M41" s="50">
        <f>+I41-G41</f>
        <v>0</v>
      </c>
      <c r="N41" s="50">
        <f>+J41-I41</f>
        <v>0</v>
      </c>
      <c r="O41" s="50"/>
      <c r="P41" s="50">
        <f>+K41-J41</f>
        <v>0</v>
      </c>
      <c r="Q41" s="89" t="s">
        <v>59</v>
      </c>
      <c r="R41" s="136"/>
      <c r="S41" s="136"/>
      <c r="T41" s="136"/>
      <c r="U41" s="136"/>
      <c r="V41" s="136"/>
      <c r="W41" s="136"/>
    </row>
    <row r="42" spans="1:32" x14ac:dyDescent="0.3">
      <c r="A42" s="1">
        <f t="shared" si="0"/>
        <v>42</v>
      </c>
      <c r="B42" s="31"/>
      <c r="C42" s="44" t="s">
        <v>146</v>
      </c>
      <c r="D42" s="44"/>
      <c r="E42" s="86"/>
      <c r="F42" s="136"/>
      <c r="G42" s="88">
        <v>3.66</v>
      </c>
      <c r="H42" s="88"/>
      <c r="I42" s="88">
        <f>G42</f>
        <v>3.66</v>
      </c>
      <c r="J42" s="88">
        <f t="shared" ref="J42:J69" si="34">G42</f>
        <v>3.66</v>
      </c>
      <c r="K42" s="88">
        <f t="shared" ref="K42:K69" si="35">G42</f>
        <v>3.66</v>
      </c>
      <c r="M42" s="50">
        <f t="shared" ref="M42:M69" si="36">+I42-G42</f>
        <v>0</v>
      </c>
      <c r="N42" s="50">
        <f t="shared" ref="N42:N69" si="37">+J42-I42</f>
        <v>0</v>
      </c>
      <c r="O42" s="50"/>
      <c r="P42" s="50">
        <f t="shared" ref="P42:P69" si="38">+K42-J42</f>
        <v>0</v>
      </c>
      <c r="Q42" s="89" t="s">
        <v>59</v>
      </c>
      <c r="R42" s="136"/>
      <c r="S42" s="136"/>
      <c r="T42" s="136"/>
      <c r="U42" s="136"/>
      <c r="V42" s="136"/>
      <c r="W42" s="136"/>
    </row>
    <row r="43" spans="1:32" x14ac:dyDescent="0.3">
      <c r="A43" s="1">
        <f t="shared" si="0"/>
        <v>43</v>
      </c>
      <c r="B43" s="31"/>
      <c r="C43" s="44" t="s">
        <v>60</v>
      </c>
      <c r="D43" s="44"/>
      <c r="E43" s="86"/>
      <c r="F43" s="136"/>
      <c r="G43" s="91">
        <v>9.4400000000000005E-3</v>
      </c>
      <c r="H43" s="91"/>
      <c r="I43" s="91">
        <f>G43</f>
        <v>9.4400000000000005E-3</v>
      </c>
      <c r="J43" s="91">
        <f t="shared" si="34"/>
        <v>9.4400000000000005E-3</v>
      </c>
      <c r="K43" s="91">
        <f t="shared" si="35"/>
        <v>9.4400000000000005E-3</v>
      </c>
      <c r="M43" s="54">
        <f t="shared" si="36"/>
        <v>0</v>
      </c>
      <c r="N43" s="54">
        <f t="shared" si="37"/>
        <v>0</v>
      </c>
      <c r="O43" s="54"/>
      <c r="P43" s="54">
        <f t="shared" si="38"/>
        <v>0</v>
      </c>
      <c r="Q43" s="89" t="s">
        <v>59</v>
      </c>
      <c r="R43" s="136"/>
      <c r="S43" s="136"/>
      <c r="T43" s="136"/>
      <c r="U43" s="136"/>
      <c r="V43" s="136"/>
      <c r="W43" s="136"/>
    </row>
    <row r="44" spans="1:32" x14ac:dyDescent="0.3">
      <c r="A44" s="1">
        <f t="shared" si="0"/>
        <v>44</v>
      </c>
      <c r="B44" s="31"/>
      <c r="C44" s="44" t="str">
        <f>+'BOS G3 NEMA'!C56</f>
        <v>Exogenous Cost Adjustment</v>
      </c>
      <c r="D44" s="44"/>
      <c r="E44" s="86"/>
      <c r="F44" s="136"/>
      <c r="G44" s="91">
        <v>3.3E-4</v>
      </c>
      <c r="H44" s="91"/>
      <c r="I44" s="91">
        <f t="shared" ref="I44:I69" si="39">G44</f>
        <v>3.3E-4</v>
      </c>
      <c r="J44" s="91">
        <f t="shared" si="34"/>
        <v>3.3E-4</v>
      </c>
      <c r="K44" s="91">
        <f t="shared" si="35"/>
        <v>3.3E-4</v>
      </c>
      <c r="M44" s="54">
        <f t="shared" si="36"/>
        <v>0</v>
      </c>
      <c r="N44" s="54">
        <f t="shared" si="37"/>
        <v>0</v>
      </c>
      <c r="O44" s="54"/>
      <c r="P44" s="54">
        <f t="shared" si="38"/>
        <v>0</v>
      </c>
      <c r="Q44" s="89" t="str">
        <f>+'BOS G3 NEMA'!Q56</f>
        <v>ECA</v>
      </c>
      <c r="R44" s="136"/>
      <c r="S44" s="136"/>
      <c r="T44" s="136"/>
      <c r="U44" s="136"/>
      <c r="V44" s="136"/>
      <c r="W44" s="136"/>
    </row>
    <row r="45" spans="1:32" x14ac:dyDescent="0.3">
      <c r="A45" s="1">
        <f t="shared" si="0"/>
        <v>45</v>
      </c>
      <c r="B45" s="31"/>
      <c r="C45" s="44" t="str">
        <f>+'BOS G3 NEMA'!C57</f>
        <v>Revenue Decoupling</v>
      </c>
      <c r="D45" s="44"/>
      <c r="E45" s="86"/>
      <c r="F45" s="136"/>
      <c r="G45" s="91">
        <v>2.0000000000000002E-5</v>
      </c>
      <c r="H45" s="91"/>
      <c r="I45" s="91">
        <f t="shared" si="39"/>
        <v>2.0000000000000002E-5</v>
      </c>
      <c r="J45" s="91">
        <f t="shared" si="34"/>
        <v>2.0000000000000002E-5</v>
      </c>
      <c r="K45" s="91">
        <f t="shared" si="35"/>
        <v>2.0000000000000002E-5</v>
      </c>
      <c r="L45" s="37"/>
      <c r="M45" s="54">
        <f t="shared" si="36"/>
        <v>0</v>
      </c>
      <c r="N45" s="54">
        <f t="shared" si="37"/>
        <v>0</v>
      </c>
      <c r="O45" s="54"/>
      <c r="P45" s="54">
        <f t="shared" si="38"/>
        <v>0</v>
      </c>
      <c r="Q45" s="89" t="str">
        <f>+'BOS G3 NEMA'!Q57</f>
        <v>RDAF</v>
      </c>
      <c r="R45" s="136"/>
      <c r="S45" s="136"/>
      <c r="T45" s="136"/>
      <c r="U45" s="136"/>
      <c r="V45" s="136"/>
      <c r="W45" s="136"/>
    </row>
    <row r="46" spans="1:32" x14ac:dyDescent="0.3">
      <c r="A46" s="1">
        <f t="shared" si="0"/>
        <v>46</v>
      </c>
      <c r="B46" s="31"/>
      <c r="C46" s="44" t="str">
        <f>+'BOS G3 NEMA'!C58</f>
        <v>Distributed Solar Charge</v>
      </c>
      <c r="D46" s="44"/>
      <c r="E46" s="86"/>
      <c r="F46" s="136"/>
      <c r="G46" s="91">
        <v>2.66E-3</v>
      </c>
      <c r="H46" s="91"/>
      <c r="I46" s="91">
        <f t="shared" si="39"/>
        <v>2.66E-3</v>
      </c>
      <c r="J46" s="91">
        <f t="shared" si="34"/>
        <v>2.66E-3</v>
      </c>
      <c r="K46" s="91">
        <f t="shared" si="35"/>
        <v>2.66E-3</v>
      </c>
      <c r="M46" s="54">
        <f t="shared" si="36"/>
        <v>0</v>
      </c>
      <c r="N46" s="54">
        <f t="shared" si="37"/>
        <v>0</v>
      </c>
      <c r="O46" s="54"/>
      <c r="P46" s="54">
        <f t="shared" si="38"/>
        <v>0</v>
      </c>
      <c r="Q46" s="89" t="str">
        <f>+'BOS G3 NEMA'!Q58</f>
        <v>SMART</v>
      </c>
      <c r="R46" s="136"/>
      <c r="S46" s="136"/>
      <c r="T46" s="136"/>
      <c r="U46" s="136"/>
      <c r="V46" s="136"/>
      <c r="W46" s="136"/>
    </row>
    <row r="47" spans="1:32" x14ac:dyDescent="0.3">
      <c r="A47" s="1">
        <f t="shared" si="0"/>
        <v>47</v>
      </c>
      <c r="B47" s="31"/>
      <c r="C47" s="44" t="str">
        <f>+'BOS G3 NEMA'!C59</f>
        <v>Residential Assistance Adjustment Factor</v>
      </c>
      <c r="D47" s="44"/>
      <c r="E47" s="86"/>
      <c r="F47" s="136"/>
      <c r="G47" s="53">
        <v>2.7200000000000002E-3</v>
      </c>
      <c r="H47" s="91"/>
      <c r="I47" s="91">
        <f t="shared" si="39"/>
        <v>2.7200000000000002E-3</v>
      </c>
      <c r="J47" s="53">
        <f t="shared" si="34"/>
        <v>2.7200000000000002E-3</v>
      </c>
      <c r="K47" s="53">
        <f t="shared" si="35"/>
        <v>2.7200000000000002E-3</v>
      </c>
      <c r="M47" s="54">
        <f t="shared" si="36"/>
        <v>0</v>
      </c>
      <c r="N47" s="54">
        <f t="shared" si="37"/>
        <v>0</v>
      </c>
      <c r="O47" s="54"/>
      <c r="P47" s="54">
        <f t="shared" si="38"/>
        <v>0</v>
      </c>
      <c r="Q47" s="89" t="str">
        <f>+'BOS G3 NEMA'!Q59</f>
        <v>RAAF</v>
      </c>
      <c r="R47" s="136"/>
      <c r="S47" s="136"/>
      <c r="T47" s="136"/>
      <c r="U47" s="136"/>
      <c r="V47" s="136"/>
      <c r="W47" s="136"/>
    </row>
    <row r="48" spans="1:32" x14ac:dyDescent="0.3">
      <c r="A48" s="1">
        <f t="shared" si="0"/>
        <v>48</v>
      </c>
      <c r="B48" s="31"/>
      <c r="C48" s="44" t="str">
        <f>+'BOS G3 NEMA'!C60</f>
        <v>Pension Adjustment Factor</v>
      </c>
      <c r="D48" s="44"/>
      <c r="E48" s="86"/>
      <c r="F48" s="136"/>
      <c r="G48" s="53">
        <v>2.7E-4</v>
      </c>
      <c r="H48" s="92"/>
      <c r="I48" s="91">
        <f t="shared" si="39"/>
        <v>2.7E-4</v>
      </c>
      <c r="J48" s="53">
        <f t="shared" si="34"/>
        <v>2.7E-4</v>
      </c>
      <c r="K48" s="53">
        <f t="shared" si="35"/>
        <v>2.7E-4</v>
      </c>
      <c r="M48" s="54">
        <f t="shared" si="36"/>
        <v>0</v>
      </c>
      <c r="N48" s="54">
        <f t="shared" si="37"/>
        <v>0</v>
      </c>
      <c r="O48" s="54"/>
      <c r="P48" s="54">
        <f t="shared" si="38"/>
        <v>0</v>
      </c>
      <c r="Q48" s="89" t="str">
        <f>+'BOS G3 NEMA'!Q60</f>
        <v>PAF</v>
      </c>
      <c r="R48" s="136"/>
      <c r="S48" s="136"/>
      <c r="T48" s="136"/>
      <c r="U48" s="136"/>
      <c r="V48" s="136"/>
      <c r="W48" s="136"/>
    </row>
    <row r="49" spans="1:23" x14ac:dyDescent="0.3">
      <c r="A49" s="1">
        <f t="shared" si="0"/>
        <v>49</v>
      </c>
      <c r="B49" s="31"/>
      <c r="C49" s="44" t="str">
        <f>+'BOS G3 NEMA'!C61</f>
        <v>Net Metering Recovery Surcharge</v>
      </c>
      <c r="D49" s="44"/>
      <c r="E49" s="86"/>
      <c r="F49" s="136"/>
      <c r="G49" s="91">
        <v>5.4000000000000003E-3</v>
      </c>
      <c r="H49" s="92"/>
      <c r="I49" s="91">
        <f t="shared" si="39"/>
        <v>5.4000000000000003E-3</v>
      </c>
      <c r="J49" s="91">
        <f t="shared" si="34"/>
        <v>5.4000000000000003E-3</v>
      </c>
      <c r="K49" s="91">
        <f t="shared" si="35"/>
        <v>5.4000000000000003E-3</v>
      </c>
      <c r="M49" s="54">
        <f t="shared" si="36"/>
        <v>0</v>
      </c>
      <c r="N49" s="54">
        <f t="shared" si="37"/>
        <v>0</v>
      </c>
      <c r="O49" s="54"/>
      <c r="P49" s="54">
        <f t="shared" si="38"/>
        <v>0</v>
      </c>
      <c r="Q49" s="89" t="str">
        <f>+'BOS G3 NEMA'!Q61</f>
        <v>NMRS</v>
      </c>
      <c r="R49" s="136"/>
      <c r="S49" s="136"/>
      <c r="T49" s="136"/>
      <c r="U49" s="136"/>
      <c r="V49" s="136"/>
      <c r="W49" s="136"/>
    </row>
    <row r="50" spans="1:23" x14ac:dyDescent="0.3">
      <c r="A50" s="1">
        <f t="shared" si="0"/>
        <v>50</v>
      </c>
      <c r="B50" s="31"/>
      <c r="C50" s="44" t="str">
        <f>+'BOS G3 NEMA'!C62</f>
        <v>Long Term Renewable Contract Adjustment</v>
      </c>
      <c r="D50" s="44"/>
      <c r="E50" s="86"/>
      <c r="F50" s="136"/>
      <c r="G50" s="53">
        <v>-1.9300000000000001E-3</v>
      </c>
      <c r="H50" s="92"/>
      <c r="I50" s="91">
        <f t="shared" si="39"/>
        <v>-1.9300000000000001E-3</v>
      </c>
      <c r="J50" s="53">
        <f t="shared" si="34"/>
        <v>-1.9300000000000001E-3</v>
      </c>
      <c r="K50" s="53">
        <f t="shared" si="35"/>
        <v>-1.9300000000000001E-3</v>
      </c>
      <c r="M50" s="54">
        <f t="shared" si="36"/>
        <v>0</v>
      </c>
      <c r="N50" s="54">
        <f t="shared" si="37"/>
        <v>0</v>
      </c>
      <c r="O50" s="54"/>
      <c r="P50" s="54">
        <f t="shared" si="38"/>
        <v>0</v>
      </c>
      <c r="Q50" s="89" t="str">
        <f>+'BOS G3 NEMA'!Q62</f>
        <v>LTRCA</v>
      </c>
      <c r="R50" s="136"/>
      <c r="S50" s="136"/>
      <c r="T50" s="136"/>
      <c r="U50" s="136"/>
      <c r="V50" s="136"/>
      <c r="W50" s="136"/>
    </row>
    <row r="51" spans="1:23" x14ac:dyDescent="0.3">
      <c r="A51" s="1">
        <f t="shared" si="0"/>
        <v>51</v>
      </c>
      <c r="B51" s="31"/>
      <c r="C51" s="44" t="str">
        <f>+'BOS G3 NEMA'!C63</f>
        <v>AG Consulting Expense</v>
      </c>
      <c r="E51" s="136"/>
      <c r="F51" s="136"/>
      <c r="G51" s="53">
        <v>1.0000000000000001E-5</v>
      </c>
      <c r="H51" s="92"/>
      <c r="I51" s="91">
        <f t="shared" si="39"/>
        <v>1.0000000000000001E-5</v>
      </c>
      <c r="J51" s="53">
        <f t="shared" si="34"/>
        <v>1.0000000000000001E-5</v>
      </c>
      <c r="K51" s="53">
        <f t="shared" si="35"/>
        <v>1.0000000000000001E-5</v>
      </c>
      <c r="M51" s="54">
        <f t="shared" si="36"/>
        <v>0</v>
      </c>
      <c r="N51" s="54">
        <f t="shared" si="37"/>
        <v>0</v>
      </c>
      <c r="O51" s="54"/>
      <c r="P51" s="54">
        <f t="shared" si="38"/>
        <v>0</v>
      </c>
      <c r="Q51" s="89" t="str">
        <f>+'BOS G3 NEMA'!Q63</f>
        <v>AGCE</v>
      </c>
      <c r="R51" s="136"/>
      <c r="S51" s="136"/>
      <c r="T51" s="136"/>
      <c r="U51" s="136"/>
      <c r="V51" s="136"/>
      <c r="W51" s="136"/>
    </row>
    <row r="52" spans="1:23" x14ac:dyDescent="0.3">
      <c r="A52" s="1">
        <f t="shared" si="0"/>
        <v>52</v>
      </c>
      <c r="B52" s="31"/>
      <c r="C52" s="44" t="str">
        <f>+'BOS G3 NEMA'!C64</f>
        <v>Storm Cost Recovery Adjustment Factor</v>
      </c>
      <c r="D52" s="44"/>
      <c r="E52" s="86"/>
      <c r="F52" s="136"/>
      <c r="G52" s="53">
        <v>2.2100000000000002E-3</v>
      </c>
      <c r="H52" s="92"/>
      <c r="I52" s="91">
        <f t="shared" si="39"/>
        <v>2.2100000000000002E-3</v>
      </c>
      <c r="J52" s="53">
        <f t="shared" si="34"/>
        <v>2.2100000000000002E-3</v>
      </c>
      <c r="K52" s="53">
        <f t="shared" si="35"/>
        <v>2.2100000000000002E-3</v>
      </c>
      <c r="M52" s="54">
        <f t="shared" si="36"/>
        <v>0</v>
      </c>
      <c r="N52" s="54">
        <f t="shared" si="37"/>
        <v>0</v>
      </c>
      <c r="O52" s="54"/>
      <c r="P52" s="54">
        <f t="shared" si="38"/>
        <v>0</v>
      </c>
      <c r="Q52" s="89" t="str">
        <f>+'BOS G3 NEMA'!Q64</f>
        <v>SCRA</v>
      </c>
      <c r="R52" s="136"/>
      <c r="S52" s="136"/>
      <c r="T52" s="136"/>
      <c r="U52" s="136"/>
      <c r="V52" s="136"/>
      <c r="W52" s="136"/>
    </row>
    <row r="53" spans="1:23" x14ac:dyDescent="0.3">
      <c r="A53" s="1">
        <f t="shared" si="0"/>
        <v>53</v>
      </c>
      <c r="B53" s="31"/>
      <c r="C53" s="44" t="str">
        <f>+'BOS G3 NEMA'!C65</f>
        <v>Storm Reserve Adjustment</v>
      </c>
      <c r="D53" s="44"/>
      <c r="E53" s="86"/>
      <c r="F53" s="136"/>
      <c r="G53" s="53">
        <v>0</v>
      </c>
      <c r="H53" s="92"/>
      <c r="I53" s="91">
        <f t="shared" si="39"/>
        <v>0</v>
      </c>
      <c r="J53" s="53">
        <f t="shared" si="34"/>
        <v>0</v>
      </c>
      <c r="K53" s="53">
        <f t="shared" si="35"/>
        <v>0</v>
      </c>
      <c r="M53" s="54">
        <f t="shared" si="36"/>
        <v>0</v>
      </c>
      <c r="N53" s="54">
        <f t="shared" si="37"/>
        <v>0</v>
      </c>
      <c r="O53" s="54"/>
      <c r="P53" s="54">
        <f t="shared" si="38"/>
        <v>0</v>
      </c>
      <c r="Q53" s="89" t="str">
        <f>+'BOS G3 NEMA'!Q65</f>
        <v>SRA</v>
      </c>
      <c r="R53" s="136"/>
      <c r="S53" s="136"/>
      <c r="T53" s="136"/>
      <c r="U53" s="136"/>
      <c r="V53" s="136"/>
      <c r="W53" s="136"/>
    </row>
    <row r="54" spans="1:23" x14ac:dyDescent="0.3">
      <c r="A54" s="1">
        <f t="shared" si="0"/>
        <v>54</v>
      </c>
      <c r="B54" s="31"/>
      <c r="C54" s="44" t="str">
        <f>+'BOS G3 NEMA'!C66</f>
        <v>Basic Service Cost True Up Factor</v>
      </c>
      <c r="D54" s="44"/>
      <c r="E54" s="86"/>
      <c r="F54" s="136"/>
      <c r="G54" s="53">
        <v>-1.4999999999999999E-4</v>
      </c>
      <c r="H54" s="92"/>
      <c r="I54" s="91">
        <f t="shared" si="39"/>
        <v>-1.4999999999999999E-4</v>
      </c>
      <c r="J54" s="53">
        <f t="shared" si="34"/>
        <v>-1.4999999999999999E-4</v>
      </c>
      <c r="K54" s="53">
        <f t="shared" si="35"/>
        <v>-1.4999999999999999E-4</v>
      </c>
      <c r="M54" s="54">
        <f t="shared" si="36"/>
        <v>0</v>
      </c>
      <c r="N54" s="54">
        <f t="shared" si="37"/>
        <v>0</v>
      </c>
      <c r="O54" s="54"/>
      <c r="P54" s="54">
        <f t="shared" si="38"/>
        <v>0</v>
      </c>
      <c r="Q54" s="89" t="str">
        <f>+'BOS G3 NEMA'!Q66</f>
        <v>BSTF</v>
      </c>
      <c r="R54" s="136"/>
      <c r="S54" s="136"/>
      <c r="T54" s="136"/>
      <c r="U54" s="136"/>
      <c r="V54" s="136"/>
      <c r="W54" s="136"/>
    </row>
    <row r="55" spans="1:23" x14ac:dyDescent="0.3">
      <c r="A55" s="1">
        <f t="shared" si="0"/>
        <v>55</v>
      </c>
      <c r="B55" s="31"/>
      <c r="C55" s="44" t="str">
        <f>+'BOS G3 NEMA'!C67</f>
        <v>Solar Program Cost Adjustment Factor</v>
      </c>
      <c r="D55" s="37"/>
      <c r="E55" s="37"/>
      <c r="F55" s="53"/>
      <c r="G55" s="53">
        <v>0</v>
      </c>
      <c r="H55" s="53"/>
      <c r="I55" s="91">
        <f t="shared" si="39"/>
        <v>0</v>
      </c>
      <c r="J55" s="53">
        <f t="shared" si="34"/>
        <v>0</v>
      </c>
      <c r="K55" s="53">
        <f t="shared" si="35"/>
        <v>0</v>
      </c>
      <c r="M55" s="54">
        <f t="shared" si="36"/>
        <v>0</v>
      </c>
      <c r="N55" s="54">
        <f t="shared" si="37"/>
        <v>0</v>
      </c>
      <c r="O55" s="54"/>
      <c r="P55" s="54">
        <f t="shared" si="38"/>
        <v>0</v>
      </c>
      <c r="Q55" s="89" t="str">
        <f>+'BOS G3 NEMA'!Q67</f>
        <v>SPCA</v>
      </c>
    </row>
    <row r="56" spans="1:23" x14ac:dyDescent="0.3">
      <c r="A56" s="1">
        <f t="shared" si="0"/>
        <v>56</v>
      </c>
      <c r="B56" s="31"/>
      <c r="C56" s="44" t="str">
        <f>+'BOS G3 NEMA'!C68</f>
        <v>Solar Expansion Cost Recovery Factor</v>
      </c>
      <c r="D56" s="37"/>
      <c r="E56" s="37"/>
      <c r="F56" s="53"/>
      <c r="G56" s="53">
        <v>-1.7000000000000001E-4</v>
      </c>
      <c r="H56" s="53"/>
      <c r="I56" s="91">
        <f t="shared" si="39"/>
        <v>-1.7000000000000001E-4</v>
      </c>
      <c r="J56" s="53">
        <f t="shared" si="34"/>
        <v>-1.7000000000000001E-4</v>
      </c>
      <c r="K56" s="53">
        <f t="shared" si="35"/>
        <v>-1.7000000000000001E-4</v>
      </c>
      <c r="M56" s="54">
        <f t="shared" si="36"/>
        <v>0</v>
      </c>
      <c r="N56" s="54">
        <f t="shared" si="37"/>
        <v>0</v>
      </c>
      <c r="O56" s="54"/>
      <c r="P56" s="54">
        <f t="shared" si="38"/>
        <v>0</v>
      </c>
      <c r="Q56" s="89" t="str">
        <f>+'BOS G3 NEMA'!Q68</f>
        <v>SECRF</v>
      </c>
    </row>
    <row r="57" spans="1:23" x14ac:dyDescent="0.3">
      <c r="A57" s="1">
        <f t="shared" si="0"/>
        <v>57</v>
      </c>
      <c r="B57" s="31"/>
      <c r="C57" s="44" t="str">
        <f>+'BOS G3 NEMA'!C69</f>
        <v>Vegetation Management</v>
      </c>
      <c r="D57" s="44"/>
      <c r="E57" s="86"/>
      <c r="F57" s="136"/>
      <c r="G57" s="53">
        <v>5.9999999999999995E-4</v>
      </c>
      <c r="H57" s="92"/>
      <c r="I57" s="91">
        <f t="shared" si="39"/>
        <v>5.9999999999999995E-4</v>
      </c>
      <c r="J57" s="53">
        <f t="shared" si="34"/>
        <v>5.9999999999999995E-4</v>
      </c>
      <c r="K57" s="53">
        <f t="shared" si="35"/>
        <v>5.9999999999999995E-4</v>
      </c>
      <c r="L57" s="37"/>
      <c r="M57" s="54">
        <f t="shared" si="36"/>
        <v>0</v>
      </c>
      <c r="N57" s="54">
        <f t="shared" si="37"/>
        <v>0</v>
      </c>
      <c r="O57" s="54"/>
      <c r="P57" s="54">
        <f t="shared" si="38"/>
        <v>0</v>
      </c>
      <c r="Q57" s="89" t="str">
        <f>+'BOS G3 NEMA'!Q69</f>
        <v>RTWF</v>
      </c>
      <c r="R57" s="136"/>
      <c r="S57" s="136"/>
      <c r="T57" s="136"/>
      <c r="U57" s="136"/>
      <c r="V57" s="136"/>
      <c r="W57" s="136"/>
    </row>
    <row r="58" spans="1:23" x14ac:dyDescent="0.3">
      <c r="A58" s="1">
        <f t="shared" si="0"/>
        <v>58</v>
      </c>
      <c r="B58" s="31"/>
      <c r="C58" s="44" t="str">
        <f>+'BOS G3 NEMA'!C70</f>
        <v>Tax Act Credit Factor</v>
      </c>
      <c r="D58" s="44"/>
      <c r="E58" s="86"/>
      <c r="F58" s="136"/>
      <c r="G58" s="53">
        <v>-5.9999999999999995E-4</v>
      </c>
      <c r="H58" s="92"/>
      <c r="I58" s="91">
        <f t="shared" si="39"/>
        <v>-5.9999999999999995E-4</v>
      </c>
      <c r="J58" s="53">
        <f t="shared" si="34"/>
        <v>-5.9999999999999995E-4</v>
      </c>
      <c r="K58" s="53">
        <f t="shared" si="35"/>
        <v>-5.9999999999999995E-4</v>
      </c>
      <c r="L58" s="37"/>
      <c r="M58" s="54">
        <f t="shared" si="36"/>
        <v>0</v>
      </c>
      <c r="N58" s="54">
        <f t="shared" si="37"/>
        <v>0</v>
      </c>
      <c r="O58" s="54"/>
      <c r="P58" s="54">
        <f t="shared" si="38"/>
        <v>0</v>
      </c>
      <c r="Q58" s="89" t="str">
        <f>+'BOS G3 NEMA'!Q70</f>
        <v>TACF</v>
      </c>
      <c r="R58" s="136"/>
      <c r="S58" s="136"/>
      <c r="T58" s="136"/>
      <c r="U58" s="136"/>
      <c r="V58" s="136"/>
      <c r="W58" s="136"/>
    </row>
    <row r="59" spans="1:23" x14ac:dyDescent="0.3">
      <c r="A59" s="1">
        <f t="shared" si="0"/>
        <v>59</v>
      </c>
      <c r="B59" s="31"/>
      <c r="C59" s="44" t="str">
        <f>+'BOS G3 NEMA'!C71</f>
        <v>Grid Modernization</v>
      </c>
      <c r="D59" s="44"/>
      <c r="E59" s="86"/>
      <c r="F59" s="136"/>
      <c r="G59" s="53">
        <v>7.6999999999999996E-4</v>
      </c>
      <c r="H59" s="92"/>
      <c r="I59" s="91">
        <f t="shared" si="39"/>
        <v>7.6999999999999996E-4</v>
      </c>
      <c r="J59" s="53">
        <f t="shared" si="34"/>
        <v>7.6999999999999996E-4</v>
      </c>
      <c r="K59" s="53">
        <f t="shared" si="35"/>
        <v>7.6999999999999996E-4</v>
      </c>
      <c r="M59" s="54">
        <f t="shared" si="36"/>
        <v>0</v>
      </c>
      <c r="N59" s="54">
        <f t="shared" si="37"/>
        <v>0</v>
      </c>
      <c r="O59" s="54"/>
      <c r="P59" s="54">
        <f t="shared" si="38"/>
        <v>0</v>
      </c>
      <c r="Q59" s="89" t="str">
        <f>+'BOS G3 NEMA'!Q71</f>
        <v>GMOD</v>
      </c>
      <c r="R59" s="136"/>
      <c r="S59" s="136"/>
      <c r="T59" s="136"/>
      <c r="U59" s="136"/>
      <c r="V59" s="136"/>
      <c r="W59" s="136"/>
    </row>
    <row r="60" spans="1:23" x14ac:dyDescent="0.3">
      <c r="A60" s="1">
        <f t="shared" si="0"/>
        <v>60</v>
      </c>
      <c r="B60" s="31"/>
      <c r="C60" s="44" t="str">
        <f>+'BOS G3 NEMA'!C72</f>
        <v>Advanced Metering Infrastructure</v>
      </c>
      <c r="D60" s="44"/>
      <c r="E60" s="86"/>
      <c r="F60" s="136"/>
      <c r="G60" s="53">
        <v>1.0200000000000001E-3</v>
      </c>
      <c r="H60" s="92"/>
      <c r="I60" s="91">
        <f t="shared" si="39"/>
        <v>1.0200000000000001E-3</v>
      </c>
      <c r="J60" s="53">
        <f t="shared" si="34"/>
        <v>1.0200000000000001E-3</v>
      </c>
      <c r="K60" s="53">
        <f t="shared" si="35"/>
        <v>1.0200000000000001E-3</v>
      </c>
      <c r="M60" s="54">
        <f t="shared" si="36"/>
        <v>0</v>
      </c>
      <c r="N60" s="54">
        <f t="shared" si="37"/>
        <v>0</v>
      </c>
      <c r="O60" s="54"/>
      <c r="P60" s="54">
        <f t="shared" si="38"/>
        <v>0</v>
      </c>
      <c r="Q60" s="89" t="str">
        <f>+'BOS G3 NEMA'!Q72</f>
        <v>AMIF</v>
      </c>
      <c r="R60" s="136"/>
      <c r="S60" s="136"/>
      <c r="T60" s="136"/>
      <c r="U60" s="136"/>
      <c r="V60" s="136"/>
      <c r="W60" s="136"/>
    </row>
    <row r="61" spans="1:23" x14ac:dyDescent="0.3">
      <c r="A61" s="1">
        <f t="shared" si="0"/>
        <v>61</v>
      </c>
      <c r="B61" s="31"/>
      <c r="C61" s="44" t="str">
        <f>+'BOS G3 NEMA'!C73</f>
        <v>Electronic Payment Recovery</v>
      </c>
      <c r="D61" s="44"/>
      <c r="E61" s="86"/>
      <c r="F61" s="136"/>
      <c r="G61" s="53">
        <v>0</v>
      </c>
      <c r="H61" s="92"/>
      <c r="I61" s="91">
        <f t="shared" si="39"/>
        <v>0</v>
      </c>
      <c r="J61" s="53">
        <f t="shared" si="34"/>
        <v>0</v>
      </c>
      <c r="K61" s="53">
        <f t="shared" si="35"/>
        <v>0</v>
      </c>
      <c r="M61" s="54">
        <f t="shared" si="36"/>
        <v>0</v>
      </c>
      <c r="N61" s="54">
        <f t="shared" si="37"/>
        <v>0</v>
      </c>
      <c r="O61" s="54"/>
      <c r="P61" s="54">
        <f t="shared" si="38"/>
        <v>0</v>
      </c>
      <c r="Q61" s="89" t="str">
        <f>+'BOS G3 NEMA'!Q73</f>
        <v>EPR</v>
      </c>
      <c r="R61" s="136"/>
      <c r="S61" s="136"/>
      <c r="T61" s="136"/>
      <c r="U61" s="136"/>
      <c r="V61" s="136"/>
      <c r="W61" s="136"/>
    </row>
    <row r="62" spans="1:23" x14ac:dyDescent="0.3">
      <c r="A62" s="1">
        <f t="shared" si="0"/>
        <v>62</v>
      </c>
      <c r="B62" s="31"/>
      <c r="C62" s="44" t="str">
        <f>+'BOS G3 NEMA'!C74</f>
        <v>Provisional System Planning Factor</v>
      </c>
      <c r="D62" s="44"/>
      <c r="E62" s="86"/>
      <c r="F62" s="136"/>
      <c r="G62" s="53">
        <v>0</v>
      </c>
      <c r="H62" s="92"/>
      <c r="I62" s="91">
        <f t="shared" si="39"/>
        <v>0</v>
      </c>
      <c r="J62" s="91">
        <f t="shared" si="34"/>
        <v>0</v>
      </c>
      <c r="K62" s="91">
        <f t="shared" si="35"/>
        <v>0</v>
      </c>
      <c r="M62" s="54">
        <f t="shared" si="36"/>
        <v>0</v>
      </c>
      <c r="N62" s="54">
        <f t="shared" si="37"/>
        <v>0</v>
      </c>
      <c r="O62" s="54"/>
      <c r="P62" s="54">
        <f t="shared" si="38"/>
        <v>0</v>
      </c>
      <c r="Q62" s="89" t="str">
        <f>+'BOS G3 NEMA'!Q74</f>
        <v>PSPF</v>
      </c>
      <c r="R62" s="136"/>
      <c r="S62" s="136"/>
      <c r="T62" s="136"/>
      <c r="U62" s="136"/>
      <c r="V62" s="136"/>
      <c r="W62" s="136"/>
    </row>
    <row r="63" spans="1:23" x14ac:dyDescent="0.3">
      <c r="A63" s="1">
        <f t="shared" si="0"/>
        <v>63</v>
      </c>
      <c r="B63" s="31"/>
      <c r="C63" s="44" t="str">
        <f>+'BOS G3 NEMA'!C75</f>
        <v>Electric Vehicle Factor</v>
      </c>
      <c r="D63" s="44"/>
      <c r="E63" s="86"/>
      <c r="F63" s="136"/>
      <c r="G63" s="53">
        <v>4.8000000000000001E-4</v>
      </c>
      <c r="H63" s="92"/>
      <c r="I63" s="91">
        <f t="shared" si="39"/>
        <v>4.8000000000000001E-4</v>
      </c>
      <c r="J63" s="91">
        <f t="shared" si="34"/>
        <v>4.8000000000000001E-4</v>
      </c>
      <c r="K63" s="91">
        <f t="shared" si="35"/>
        <v>4.8000000000000001E-4</v>
      </c>
      <c r="M63" s="54">
        <f t="shared" si="36"/>
        <v>0</v>
      </c>
      <c r="N63" s="54">
        <f t="shared" si="37"/>
        <v>0</v>
      </c>
      <c r="O63" s="54"/>
      <c r="P63" s="54">
        <f t="shared" si="38"/>
        <v>0</v>
      </c>
      <c r="Q63" s="89" t="str">
        <f>+'BOS G3 NEMA'!Q75</f>
        <v>EVF</v>
      </c>
      <c r="R63" s="136"/>
      <c r="S63" s="136"/>
      <c r="T63" s="136"/>
      <c r="U63" s="136"/>
      <c r="V63" s="136"/>
      <c r="W63" s="136"/>
    </row>
    <row r="64" spans="1:23" x14ac:dyDescent="0.3">
      <c r="A64" s="1">
        <f t="shared" si="0"/>
        <v>64</v>
      </c>
      <c r="B64" s="31"/>
      <c r="C64" s="44" t="str">
        <f>+'BOS G3 NEMA'!C76</f>
        <v>Transition</v>
      </c>
      <c r="D64" s="44"/>
      <c r="E64" s="86"/>
      <c r="F64" s="136"/>
      <c r="G64" s="53">
        <v>-3.6999999999999999E-4</v>
      </c>
      <c r="H64" s="92"/>
      <c r="I64" s="91">
        <f t="shared" si="39"/>
        <v>-3.6999999999999999E-4</v>
      </c>
      <c r="J64" s="91">
        <f t="shared" si="34"/>
        <v>-3.6999999999999999E-4</v>
      </c>
      <c r="K64" s="91">
        <f t="shared" si="35"/>
        <v>-3.6999999999999999E-4</v>
      </c>
      <c r="M64" s="54">
        <f t="shared" si="36"/>
        <v>0</v>
      </c>
      <c r="N64" s="54">
        <f t="shared" si="37"/>
        <v>0</v>
      </c>
      <c r="O64" s="54"/>
      <c r="P64" s="54">
        <f t="shared" si="38"/>
        <v>0</v>
      </c>
      <c r="Q64" s="89" t="str">
        <f>+'BOS G3 NEMA'!Q76</f>
        <v>TRNSN</v>
      </c>
      <c r="R64" s="136"/>
      <c r="S64" s="136"/>
      <c r="T64" s="136"/>
      <c r="U64" s="136"/>
      <c r="V64" s="136"/>
      <c r="W64" s="136"/>
    </row>
    <row r="65" spans="1:24" x14ac:dyDescent="0.3">
      <c r="A65" s="1">
        <f t="shared" si="0"/>
        <v>65</v>
      </c>
      <c r="B65" s="31"/>
      <c r="C65" s="44" t="s">
        <v>147</v>
      </c>
      <c r="D65" s="44"/>
      <c r="E65" s="86"/>
      <c r="F65" s="136"/>
      <c r="G65" s="88">
        <v>12.87</v>
      </c>
      <c r="H65" s="142"/>
      <c r="I65" s="88">
        <f>G65</f>
        <v>12.87</v>
      </c>
      <c r="J65" s="88">
        <f t="shared" si="34"/>
        <v>12.87</v>
      </c>
      <c r="K65" s="88">
        <f t="shared" si="35"/>
        <v>12.87</v>
      </c>
      <c r="M65" s="50">
        <f t="shared" si="36"/>
        <v>0</v>
      </c>
      <c r="N65" s="50">
        <f t="shared" si="37"/>
        <v>0</v>
      </c>
      <c r="O65" s="88"/>
      <c r="P65" s="50">
        <f t="shared" si="38"/>
        <v>0</v>
      </c>
      <c r="Q65" s="51" t="s">
        <v>104</v>
      </c>
      <c r="R65" s="136"/>
      <c r="S65" s="136"/>
      <c r="T65" s="136"/>
      <c r="U65" s="136"/>
      <c r="V65" s="136"/>
      <c r="W65" s="136"/>
    </row>
    <row r="66" spans="1:24" x14ac:dyDescent="0.3">
      <c r="A66" s="1">
        <f t="shared" si="0"/>
        <v>66</v>
      </c>
      <c r="B66" s="31"/>
      <c r="C66" s="44" t="s">
        <v>105</v>
      </c>
      <c r="G66" s="53">
        <v>-8.1300000000000001E-3</v>
      </c>
      <c r="H66" s="92"/>
      <c r="I66" s="91">
        <v>1.038E-2</v>
      </c>
      <c r="J66" s="91">
        <v>1.333E-2</v>
      </c>
      <c r="K66" s="91">
        <v>1.3129999999999999E-2</v>
      </c>
      <c r="M66" s="54">
        <f t="shared" si="36"/>
        <v>1.8509999999999999E-2</v>
      </c>
      <c r="N66" s="54">
        <f t="shared" si="37"/>
        <v>2.9499999999999995E-3</v>
      </c>
      <c r="O66" s="54"/>
      <c r="P66" s="54">
        <f t="shared" si="38"/>
        <v>-2.0000000000000052E-4</v>
      </c>
      <c r="Q66" s="89" t="s">
        <v>106</v>
      </c>
    </row>
    <row r="67" spans="1:24" x14ac:dyDescent="0.3">
      <c r="A67" s="1">
        <f t="shared" ref="A67:A69" si="40">A66+1</f>
        <v>67</v>
      </c>
      <c r="C67" s="44" t="s">
        <v>107</v>
      </c>
      <c r="G67" s="53">
        <v>2.5000000000000001E-3</v>
      </c>
      <c r="H67" s="92"/>
      <c r="I67" s="91">
        <f t="shared" si="39"/>
        <v>2.5000000000000001E-3</v>
      </c>
      <c r="J67" s="91">
        <f t="shared" si="34"/>
        <v>2.5000000000000001E-3</v>
      </c>
      <c r="K67" s="91">
        <f t="shared" si="35"/>
        <v>2.5000000000000001E-3</v>
      </c>
      <c r="M67" s="54">
        <f t="shared" si="36"/>
        <v>0</v>
      </c>
      <c r="N67" s="54">
        <f t="shared" si="37"/>
        <v>0</v>
      </c>
      <c r="O67" s="54"/>
      <c r="P67" s="54">
        <f t="shared" si="38"/>
        <v>0</v>
      </c>
      <c r="Q67" s="89" t="s">
        <v>108</v>
      </c>
    </row>
    <row r="68" spans="1:24" x14ac:dyDescent="0.3">
      <c r="A68" s="1">
        <f t="shared" si="40"/>
        <v>68</v>
      </c>
      <c r="C68" s="44" t="s">
        <v>109</v>
      </c>
      <c r="G68" s="53">
        <v>5.0000000000000001E-4</v>
      </c>
      <c r="H68" s="92"/>
      <c r="I68" s="91">
        <f t="shared" si="39"/>
        <v>5.0000000000000001E-4</v>
      </c>
      <c r="J68" s="91">
        <f t="shared" si="34"/>
        <v>5.0000000000000001E-4</v>
      </c>
      <c r="K68" s="91">
        <f t="shared" si="35"/>
        <v>5.0000000000000001E-4</v>
      </c>
      <c r="M68" s="54">
        <f t="shared" si="36"/>
        <v>0</v>
      </c>
      <c r="N68" s="54">
        <f t="shared" si="37"/>
        <v>0</v>
      </c>
      <c r="O68" s="54"/>
      <c r="P68" s="54">
        <f t="shared" si="38"/>
        <v>0</v>
      </c>
      <c r="Q68" s="89" t="s">
        <v>110</v>
      </c>
    </row>
    <row r="69" spans="1:24" x14ac:dyDescent="0.3">
      <c r="A69" s="1">
        <f t="shared" si="40"/>
        <v>69</v>
      </c>
      <c r="C69" s="44" t="s">
        <v>111</v>
      </c>
      <c r="G69" s="92">
        <v>0.13556000000000001</v>
      </c>
      <c r="H69" s="92"/>
      <c r="I69" s="91">
        <f t="shared" si="39"/>
        <v>0.13556000000000001</v>
      </c>
      <c r="J69" s="92">
        <f t="shared" si="34"/>
        <v>0.13556000000000001</v>
      </c>
      <c r="K69" s="91">
        <f t="shared" si="35"/>
        <v>0.13556000000000001</v>
      </c>
      <c r="M69" s="54">
        <f t="shared" si="36"/>
        <v>0</v>
      </c>
      <c r="N69" s="54">
        <f t="shared" si="37"/>
        <v>0</v>
      </c>
      <c r="O69" s="54"/>
      <c r="P69" s="54">
        <f t="shared" si="38"/>
        <v>0</v>
      </c>
      <c r="Q69" s="89" t="s">
        <v>112</v>
      </c>
    </row>
    <row r="70" spans="1:24" x14ac:dyDescent="0.3">
      <c r="A70" s="1"/>
      <c r="C70" s="44"/>
      <c r="G70" s="92"/>
      <c r="H70" s="92"/>
      <c r="I70" s="91"/>
      <c r="J70" s="92"/>
      <c r="K70" s="91"/>
      <c r="M70" s="54"/>
      <c r="N70" s="54"/>
      <c r="O70" s="54"/>
      <c r="P70" s="54"/>
      <c r="X70" s="89"/>
    </row>
    <row r="71" spans="1:24" x14ac:dyDescent="0.3">
      <c r="A71" s="1"/>
      <c r="B71" s="31"/>
      <c r="C71" s="44"/>
      <c r="K71" s="44"/>
    </row>
    <row r="72" spans="1:24" x14ac:dyDescent="0.3">
      <c r="A72" s="1"/>
      <c r="B72" s="31"/>
      <c r="C72" s="44" t="s">
        <v>58</v>
      </c>
      <c r="G72" s="88">
        <f>+G41</f>
        <v>930</v>
      </c>
      <c r="H72" s="88"/>
      <c r="I72" s="88">
        <f>+I41</f>
        <v>930</v>
      </c>
      <c r="J72" s="88">
        <f t="shared" ref="J72:K72" si="41">+J41</f>
        <v>930</v>
      </c>
      <c r="K72" s="88">
        <f t="shared" si="41"/>
        <v>930</v>
      </c>
    </row>
    <row r="73" spans="1:24" x14ac:dyDescent="0.3">
      <c r="A73" s="1"/>
      <c r="B73" s="31"/>
      <c r="C73" s="44" t="s">
        <v>148</v>
      </c>
      <c r="G73" s="88">
        <f>SUM(G42,G65)</f>
        <v>16.53</v>
      </c>
      <c r="H73" s="88"/>
      <c r="I73" s="88">
        <f>SUM(I42,I65)</f>
        <v>16.53</v>
      </c>
      <c r="J73" s="88">
        <f t="shared" ref="J73:K73" si="42">SUM(J42,J65)</f>
        <v>16.53</v>
      </c>
      <c r="K73" s="88">
        <f t="shared" si="42"/>
        <v>16.53</v>
      </c>
    </row>
    <row r="74" spans="1:24" x14ac:dyDescent="0.3">
      <c r="A74" s="1"/>
      <c r="B74" s="31"/>
      <c r="C74" s="44" t="s">
        <v>122</v>
      </c>
      <c r="G74" s="91">
        <f>SUM(G43:G64,G66:G68)</f>
        <v>1.7579999999999998E-2</v>
      </c>
      <c r="H74" s="91"/>
      <c r="I74" s="91">
        <f>SUM(I43:I64,I66:I68)</f>
        <v>3.6089999999999997E-2</v>
      </c>
      <c r="J74" s="91">
        <f t="shared" ref="J74:K74" si="43">SUM(J43:J64,J66:J68)</f>
        <v>3.9039999999999998E-2</v>
      </c>
      <c r="K74" s="91">
        <f t="shared" si="43"/>
        <v>3.884E-2</v>
      </c>
    </row>
    <row r="75" spans="1:24" x14ac:dyDescent="0.3">
      <c r="A75" s="1"/>
      <c r="B75" s="31"/>
      <c r="C75" s="44" t="s">
        <v>123</v>
      </c>
      <c r="G75" s="91">
        <f>+G69</f>
        <v>0.13556000000000001</v>
      </c>
      <c r="H75" s="91"/>
      <c r="I75" s="91">
        <f>+I69</f>
        <v>0.13556000000000001</v>
      </c>
      <c r="J75" s="91">
        <f t="shared" ref="J75:K75" si="44">+J69</f>
        <v>0.13556000000000001</v>
      </c>
      <c r="K75" s="91">
        <f t="shared" si="44"/>
        <v>0.13556000000000001</v>
      </c>
    </row>
    <row r="76" spans="1:24" x14ac:dyDescent="0.3">
      <c r="A76" s="31" t="str">
        <f>IF(C76&lt;&gt;"",COUNTA($C$11:C76),"")</f>
        <v/>
      </c>
      <c r="B76" s="31"/>
      <c r="G76" s="136"/>
      <c r="H76" s="136"/>
      <c r="I76" s="136"/>
      <c r="J76" s="136"/>
      <c r="K76" s="44"/>
    </row>
    <row r="77" spans="1:24" x14ac:dyDescent="0.3">
      <c r="A77" s="31"/>
      <c r="B77" s="31"/>
      <c r="C77" s="172"/>
      <c r="E77" s="178"/>
      <c r="H77" s="136"/>
      <c r="I77" s="136"/>
      <c r="J77" s="136"/>
      <c r="K77" s="44"/>
    </row>
    <row r="78" spans="1:24" x14ac:dyDescent="0.3">
      <c r="A78" s="31"/>
      <c r="B78" s="31"/>
      <c r="C78" s="172"/>
      <c r="E78" s="178"/>
      <c r="H78" s="136"/>
      <c r="I78" s="136"/>
      <c r="J78" s="136"/>
      <c r="K78" s="44"/>
    </row>
    <row r="79" spans="1:24" x14ac:dyDescent="0.3">
      <c r="A79" s="31"/>
      <c r="B79" s="31"/>
      <c r="C79" s="172"/>
      <c r="E79" s="178"/>
      <c r="H79" s="136"/>
      <c r="I79" s="136"/>
      <c r="J79" s="136"/>
      <c r="K79" s="44"/>
    </row>
    <row r="80" spans="1:24" x14ac:dyDescent="0.3">
      <c r="A80" s="31"/>
      <c r="B80" s="31"/>
      <c r="G80" s="136"/>
      <c r="H80" s="136"/>
      <c r="I80" s="136"/>
      <c r="J80" s="136"/>
      <c r="K80" s="44"/>
    </row>
    <row r="81" spans="1:11" x14ac:dyDescent="0.3">
      <c r="A81" s="31"/>
      <c r="B81" s="31"/>
      <c r="G81" s="136"/>
      <c r="H81" s="136"/>
      <c r="I81" s="136"/>
      <c r="J81" s="136"/>
      <c r="K81" s="44"/>
    </row>
    <row r="82" spans="1:11" x14ac:dyDescent="0.3">
      <c r="A82" s="31"/>
      <c r="B82" s="31"/>
      <c r="G82" s="136"/>
      <c r="H82" s="136"/>
      <c r="I82" s="136"/>
      <c r="J82" s="136"/>
      <c r="K82" s="44"/>
    </row>
    <row r="83" spans="1:11" x14ac:dyDescent="0.3">
      <c r="A83" s="31"/>
      <c r="B83" s="31"/>
      <c r="G83" s="136"/>
      <c r="H83" s="136"/>
      <c r="I83" s="136"/>
      <c r="J83" s="136"/>
      <c r="K83" s="44"/>
    </row>
    <row r="84" spans="1:11" x14ac:dyDescent="0.3">
      <c r="A84" s="31"/>
      <c r="B84" s="31"/>
      <c r="G84" s="136"/>
      <c r="H84" s="136"/>
      <c r="I84" s="136"/>
      <c r="J84" s="136"/>
      <c r="K84" s="44"/>
    </row>
    <row r="85" spans="1:11" x14ac:dyDescent="0.3">
      <c r="A85" s="31"/>
      <c r="B85" s="31"/>
      <c r="G85" s="136"/>
      <c r="H85" s="136"/>
      <c r="I85" s="136"/>
      <c r="J85" s="136"/>
      <c r="K85" s="44"/>
    </row>
    <row r="86" spans="1:11" x14ac:dyDescent="0.3">
      <c r="A86" s="31"/>
      <c r="B86" s="31"/>
      <c r="G86" s="136"/>
      <c r="H86" s="136"/>
      <c r="I86" s="136"/>
      <c r="J86" s="136"/>
      <c r="K86" s="44"/>
    </row>
    <row r="87" spans="1:11" x14ac:dyDescent="0.3">
      <c r="A87" s="31"/>
      <c r="B87" s="31"/>
      <c r="G87" s="136"/>
      <c r="H87" s="136"/>
      <c r="I87" s="136"/>
      <c r="J87" s="136"/>
      <c r="K87" s="44"/>
    </row>
    <row r="88" spans="1:11" x14ac:dyDescent="0.3">
      <c r="A88" s="31"/>
      <c r="B88" s="31"/>
      <c r="I88" s="44"/>
      <c r="J88" s="44"/>
      <c r="K88" s="44"/>
    </row>
    <row r="89" spans="1:11" x14ac:dyDescent="0.3">
      <c r="A89" s="31"/>
      <c r="B89" s="31"/>
      <c r="I89" s="44"/>
      <c r="J89" s="44"/>
      <c r="K89" s="44"/>
    </row>
    <row r="90" spans="1:11" x14ac:dyDescent="0.3">
      <c r="A90" s="31"/>
      <c r="B90" s="31"/>
      <c r="I90" s="44"/>
      <c r="J90" s="44"/>
      <c r="K90" s="44"/>
    </row>
    <row r="91" spans="1:11" x14ac:dyDescent="0.3">
      <c r="A91" s="31"/>
      <c r="B91" s="31"/>
      <c r="I91" s="44"/>
      <c r="J91" s="44"/>
      <c r="K91" s="44"/>
    </row>
    <row r="92" spans="1:11" x14ac:dyDescent="0.3">
      <c r="A92" s="31"/>
      <c r="B92" s="31"/>
      <c r="I92" s="44"/>
      <c r="J92" s="44"/>
      <c r="K92" s="44"/>
    </row>
    <row r="93" spans="1:11" x14ac:dyDescent="0.3">
      <c r="A93" s="31"/>
      <c r="B93" s="31"/>
      <c r="I93" s="44"/>
      <c r="J93" s="44"/>
      <c r="K93" s="44"/>
    </row>
    <row r="94" spans="1:11" x14ac:dyDescent="0.3">
      <c r="A94" s="31"/>
      <c r="B94" s="31"/>
      <c r="I94" s="44"/>
      <c r="J94" s="44"/>
      <c r="K94" s="44"/>
    </row>
    <row r="95" spans="1:11" x14ac:dyDescent="0.3">
      <c r="A95" s="31"/>
      <c r="B95" s="31"/>
      <c r="I95" s="44"/>
      <c r="J95" s="44"/>
      <c r="K95" s="44"/>
    </row>
    <row r="96" spans="1:11" x14ac:dyDescent="0.3">
      <c r="A96" s="31"/>
      <c r="B96" s="31"/>
      <c r="I96" s="44"/>
      <c r="J96" s="44"/>
      <c r="K96" s="44"/>
    </row>
    <row r="97" spans="1:23" x14ac:dyDescent="0.3">
      <c r="A97" s="31"/>
      <c r="B97" s="31"/>
      <c r="I97" s="44"/>
      <c r="J97" s="44"/>
      <c r="K97" s="44"/>
    </row>
    <row r="98" spans="1:23" x14ac:dyDescent="0.3">
      <c r="A98" s="31"/>
      <c r="B98" s="31"/>
      <c r="I98" s="44"/>
      <c r="J98" s="44"/>
      <c r="K98" s="44"/>
    </row>
    <row r="99" spans="1:23" x14ac:dyDescent="0.3">
      <c r="A99" s="31"/>
      <c r="B99" s="31"/>
      <c r="I99" s="44"/>
      <c r="J99" s="44"/>
      <c r="K99" s="44"/>
    </row>
    <row r="100" spans="1:23" x14ac:dyDescent="0.3">
      <c r="A100" s="31"/>
      <c r="B100" s="31"/>
      <c r="C100" s="190"/>
      <c r="D100" s="144"/>
      <c r="E100" s="144"/>
      <c r="F100" s="144"/>
      <c r="G100" s="144"/>
      <c r="H100" s="144"/>
      <c r="I100" s="180"/>
      <c r="J100" s="180"/>
      <c r="K100" s="180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</row>
    <row r="101" spans="1:23" x14ac:dyDescent="0.3">
      <c r="A101" s="31"/>
      <c r="B101" s="31"/>
      <c r="C101" s="163"/>
      <c r="D101" s="163"/>
      <c r="E101" s="146"/>
      <c r="F101" s="146"/>
      <c r="G101" s="146"/>
      <c r="H101" s="147"/>
      <c r="I101" s="146"/>
      <c r="J101" s="146"/>
      <c r="K101" s="146"/>
      <c r="L101" s="147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8"/>
    </row>
    <row r="102" spans="1:23" x14ac:dyDescent="0.3">
      <c r="A102" s="31"/>
      <c r="B102" s="31"/>
      <c r="I102" s="44"/>
      <c r="J102" s="44"/>
      <c r="K102" s="44"/>
    </row>
    <row r="103" spans="1:23" x14ac:dyDescent="0.3">
      <c r="A103" s="31"/>
      <c r="B103" s="31"/>
      <c r="C103" s="163"/>
      <c r="D103" s="163"/>
      <c r="E103" s="146"/>
      <c r="F103" s="146"/>
      <c r="G103" s="146"/>
      <c r="H103" s="147"/>
      <c r="I103" s="146"/>
      <c r="J103" s="146"/>
      <c r="K103" s="146"/>
      <c r="L103" s="147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8"/>
    </row>
    <row r="104" spans="1:23" x14ac:dyDescent="0.3">
      <c r="A104" s="31"/>
      <c r="B104" s="31"/>
      <c r="I104" s="44"/>
      <c r="J104" s="44"/>
      <c r="K104" s="44"/>
    </row>
    <row r="105" spans="1:23" x14ac:dyDescent="0.3">
      <c r="A105" s="31"/>
      <c r="B105" s="31"/>
      <c r="I105" s="44"/>
      <c r="J105" s="44"/>
      <c r="K105" s="44"/>
    </row>
    <row r="106" spans="1:23" x14ac:dyDescent="0.3">
      <c r="A106" s="31"/>
      <c r="B106" s="31"/>
      <c r="I106" s="44"/>
      <c r="J106" s="44"/>
      <c r="K106" s="44"/>
    </row>
    <row r="107" spans="1:23" x14ac:dyDescent="0.3">
      <c r="A107" s="31"/>
      <c r="B107" s="31"/>
      <c r="I107" s="44"/>
      <c r="J107" s="44"/>
      <c r="K107" s="44"/>
    </row>
    <row r="108" spans="1:23" x14ac:dyDescent="0.3">
      <c r="A108" s="31"/>
      <c r="B108" s="31"/>
      <c r="I108" s="44"/>
      <c r="J108" s="44"/>
      <c r="K108" s="44"/>
    </row>
    <row r="109" spans="1:23" x14ac:dyDescent="0.3">
      <c r="A109" s="31"/>
      <c r="B109" s="31"/>
      <c r="I109" s="44"/>
      <c r="J109" s="44"/>
      <c r="K109" s="44"/>
    </row>
    <row r="110" spans="1:23" x14ac:dyDescent="0.3">
      <c r="A110" s="31"/>
      <c r="B110" s="31"/>
      <c r="I110" s="44"/>
      <c r="J110" s="44"/>
      <c r="K110" s="44"/>
    </row>
    <row r="111" spans="1:23" x14ac:dyDescent="0.3">
      <c r="A111" s="31"/>
      <c r="B111" s="31"/>
      <c r="I111" s="44"/>
      <c r="J111" s="44"/>
      <c r="K111" s="44"/>
    </row>
    <row r="112" spans="1:23" x14ac:dyDescent="0.3">
      <c r="A112" s="31"/>
      <c r="B112" s="31"/>
      <c r="I112" s="44"/>
      <c r="J112" s="44"/>
      <c r="K112" s="44"/>
    </row>
    <row r="113" spans="1:11" x14ac:dyDescent="0.3">
      <c r="A113" s="31"/>
      <c r="B113" s="31"/>
      <c r="I113" s="44"/>
      <c r="J113" s="44"/>
      <c r="K113" s="44"/>
    </row>
    <row r="114" spans="1:11" x14ac:dyDescent="0.3">
      <c r="A114" s="31"/>
      <c r="B114" s="31"/>
      <c r="I114" s="44"/>
      <c r="J114" s="44"/>
      <c r="K114" s="44"/>
    </row>
    <row r="115" spans="1:11" x14ac:dyDescent="0.3">
      <c r="A115" s="31"/>
      <c r="B115" s="31"/>
      <c r="I115" s="44"/>
      <c r="J115" s="44"/>
      <c r="K115" s="44"/>
    </row>
    <row r="116" spans="1:11" x14ac:dyDescent="0.3">
      <c r="A116" s="31"/>
      <c r="B116" s="31"/>
      <c r="I116" s="44"/>
      <c r="J116" s="44"/>
      <c r="K116" s="44"/>
    </row>
    <row r="117" spans="1:11" x14ac:dyDescent="0.3">
      <c r="A117" s="31"/>
      <c r="B117" s="31"/>
      <c r="I117" s="44"/>
      <c r="J117" s="44"/>
      <c r="K117" s="44"/>
    </row>
    <row r="118" spans="1:11" x14ac:dyDescent="0.3">
      <c r="A118" s="31"/>
      <c r="B118" s="31"/>
      <c r="I118" s="44"/>
      <c r="J118" s="44"/>
      <c r="K118" s="44"/>
    </row>
    <row r="119" spans="1:11" x14ac:dyDescent="0.3">
      <c r="A119" s="31"/>
      <c r="B119" s="31"/>
      <c r="I119" s="44"/>
      <c r="J119" s="44"/>
      <c r="K119" s="44"/>
    </row>
    <row r="120" spans="1:11" x14ac:dyDescent="0.3">
      <c r="A120" s="31"/>
      <c r="B120" s="31"/>
      <c r="I120" s="44"/>
      <c r="J120" s="44"/>
      <c r="K120" s="44"/>
    </row>
    <row r="121" spans="1:11" x14ac:dyDescent="0.3">
      <c r="A121" s="31"/>
      <c r="B121" s="31"/>
      <c r="I121" s="44"/>
      <c r="J121" s="44"/>
      <c r="K121" s="44"/>
    </row>
    <row r="122" spans="1:11" x14ac:dyDescent="0.3">
      <c r="A122" s="31"/>
      <c r="B122" s="31"/>
      <c r="I122" s="44"/>
      <c r="J122" s="44"/>
      <c r="K122" s="44"/>
    </row>
    <row r="123" spans="1:11" x14ac:dyDescent="0.3">
      <c r="A123" s="31"/>
      <c r="B123" s="31"/>
      <c r="I123" s="44"/>
      <c r="J123" s="44"/>
      <c r="K123" s="44"/>
    </row>
    <row r="124" spans="1:11" x14ac:dyDescent="0.3">
      <c r="A124" s="31"/>
      <c r="B124" s="31"/>
      <c r="I124" s="44"/>
      <c r="J124" s="44"/>
      <c r="K124" s="44"/>
    </row>
    <row r="125" spans="1:11" x14ac:dyDescent="0.3">
      <c r="A125" s="31"/>
      <c r="B125" s="31"/>
      <c r="I125" s="44"/>
      <c r="J125" s="44"/>
      <c r="K125" s="44"/>
    </row>
    <row r="126" spans="1:11" x14ac:dyDescent="0.3">
      <c r="A126" s="31"/>
      <c r="B126" s="31"/>
    </row>
    <row r="127" spans="1:11" x14ac:dyDescent="0.3">
      <c r="A127" s="31"/>
      <c r="B127" s="31"/>
    </row>
    <row r="128" spans="1:11" x14ac:dyDescent="0.3">
      <c r="A128" s="31"/>
      <c r="B128" s="31"/>
    </row>
    <row r="129" spans="1:2" x14ac:dyDescent="0.3">
      <c r="A129" s="31"/>
      <c r="B129" s="31"/>
    </row>
    <row r="130" spans="1:2" x14ac:dyDescent="0.3">
      <c r="A130" s="31"/>
      <c r="B130" s="31"/>
    </row>
    <row r="131" spans="1:2" x14ac:dyDescent="0.3">
      <c r="A131" s="31"/>
      <c r="B131" s="31"/>
    </row>
    <row r="132" spans="1:2" x14ac:dyDescent="0.3">
      <c r="A132" s="31"/>
      <c r="B132" s="31"/>
    </row>
    <row r="133" spans="1:2" x14ac:dyDescent="0.3">
      <c r="A133" s="31"/>
      <c r="B133" s="31"/>
    </row>
    <row r="134" spans="1:2" x14ac:dyDescent="0.3">
      <c r="A134" s="31"/>
      <c r="B134" s="31"/>
    </row>
    <row r="135" spans="1:2" x14ac:dyDescent="0.3">
      <c r="A135" s="31"/>
      <c r="B135" s="31"/>
    </row>
    <row r="136" spans="1:2" x14ac:dyDescent="0.3">
      <c r="A136" s="31"/>
      <c r="B136" s="31"/>
    </row>
    <row r="137" spans="1:2" x14ac:dyDescent="0.3">
      <c r="A137" s="31"/>
      <c r="B137" s="31"/>
    </row>
    <row r="138" spans="1:2" x14ac:dyDescent="0.3">
      <c r="A138" s="31"/>
      <c r="B138" s="31"/>
    </row>
    <row r="139" spans="1:2" x14ac:dyDescent="0.3">
      <c r="A139" s="31"/>
      <c r="B139" s="31"/>
    </row>
  </sheetData>
  <mergeCells count="7">
    <mergeCell ref="AA11:AB11"/>
    <mergeCell ref="E11:G11"/>
    <mergeCell ref="I11:K11"/>
    <mergeCell ref="M11:N11"/>
    <mergeCell ref="P11:R11"/>
    <mergeCell ref="T11:U11"/>
    <mergeCell ref="W11:Y11"/>
  </mergeCells>
  <pageMargins left="0.7" right="0.7" top="0.75" bottom="0.75" header="0.3" footer="0.3"/>
  <pageSetup scale="34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1909-03AD-47E8-8AE8-1ADCF628DF5E}">
  <sheetPr>
    <tabColor theme="3" tint="0.59999389629810485"/>
    <pageSetUpPr fitToPage="1"/>
  </sheetPr>
  <dimension ref="A1:AH98"/>
  <sheetViews>
    <sheetView zoomScaleNormal="100" workbookViewId="0"/>
  </sheetViews>
  <sheetFormatPr defaultColWidth="9.1796875" defaultRowHeight="14" x14ac:dyDescent="0.3"/>
  <cols>
    <col min="1" max="1" width="4" style="2" customWidth="1"/>
    <col min="2" max="2" width="4.453125" style="2" bestFit="1" customWidth="1"/>
    <col min="3" max="4" width="11.81640625" style="2" customWidth="1"/>
    <col min="5" max="6" width="12.36328125" style="2" bestFit="1" customWidth="1"/>
    <col min="7" max="7" width="13.08984375" style="2" bestFit="1" customWidth="1"/>
    <col min="8" max="8" width="2" style="2" customWidth="1"/>
    <col min="9" max="10" width="12.36328125" style="2" bestFit="1" customWidth="1"/>
    <col min="11" max="11" width="12.6328125" style="2" bestFit="1" customWidth="1"/>
    <col min="12" max="12" width="2" style="2" customWidth="1"/>
    <col min="13" max="14" width="11.81640625" style="2" customWidth="1"/>
    <col min="15" max="15" width="2" style="2" customWidth="1"/>
    <col min="16" max="16" width="12.6328125" style="2" bestFit="1" customWidth="1"/>
    <col min="17" max="17" width="12.36328125" style="2" bestFit="1" customWidth="1"/>
    <col min="18" max="18" width="12.6328125" style="2" bestFit="1" customWidth="1"/>
    <col min="19" max="19" width="2" style="2" customWidth="1"/>
    <col min="20" max="21" width="11.81640625" style="2" customWidth="1"/>
    <col min="22" max="22" width="2" style="2" customWidth="1"/>
    <col min="23" max="24" width="12.36328125" style="2" bestFit="1" customWidth="1"/>
    <col min="25" max="25" width="12.6328125" style="2" bestFit="1" customWidth="1"/>
    <col min="26" max="26" width="2" style="2" customWidth="1"/>
    <col min="27" max="28" width="11.81640625" style="2" customWidth="1"/>
    <col min="29" max="16384" width="9.1796875" style="2"/>
  </cols>
  <sheetData>
    <row r="1" spans="1:34" x14ac:dyDescent="0.3">
      <c r="A1" s="1">
        <v>1</v>
      </c>
      <c r="C1" s="69"/>
      <c r="D1" s="198"/>
      <c r="E1" s="198"/>
      <c r="F1" s="198"/>
      <c r="G1" s="199"/>
      <c r="H1" s="200"/>
    </row>
    <row r="2" spans="1:34" x14ac:dyDescent="0.3">
      <c r="A2" s="1">
        <f>A1+1</f>
        <v>2</v>
      </c>
      <c r="C2" s="70"/>
      <c r="D2" s="198"/>
      <c r="E2" s="198"/>
      <c r="F2" s="198"/>
      <c r="G2" s="70"/>
      <c r="H2" s="200"/>
    </row>
    <row r="3" spans="1:34" x14ac:dyDescent="0.3">
      <c r="A3" s="1">
        <f t="shared" ref="A3:A66" si="0">A2+1</f>
        <v>3</v>
      </c>
      <c r="B3" s="24" t="s">
        <v>115</v>
      </c>
      <c r="D3" s="201"/>
      <c r="F3" s="201"/>
      <c r="G3" s="70"/>
      <c r="H3" s="202"/>
    </row>
    <row r="4" spans="1:34" x14ac:dyDescent="0.3">
      <c r="A4" s="1">
        <f t="shared" si="0"/>
        <v>4</v>
      </c>
      <c r="B4" s="24" t="s">
        <v>41</v>
      </c>
      <c r="D4" s="101"/>
      <c r="E4" s="101"/>
      <c r="F4" s="101"/>
      <c r="G4" s="200"/>
      <c r="H4" s="200"/>
    </row>
    <row r="5" spans="1:34" x14ac:dyDescent="0.3">
      <c r="A5" s="1">
        <f t="shared" si="0"/>
        <v>5</v>
      </c>
      <c r="B5" s="24"/>
      <c r="D5" s="101"/>
      <c r="E5" s="101"/>
      <c r="F5" s="101"/>
      <c r="G5" s="200"/>
      <c r="H5" s="200"/>
    </row>
    <row r="6" spans="1:34" x14ac:dyDescent="0.3">
      <c r="A6" s="1">
        <f t="shared" si="0"/>
        <v>6</v>
      </c>
      <c r="B6" s="24" t="s">
        <v>212</v>
      </c>
      <c r="D6" s="101"/>
      <c r="E6" s="101"/>
      <c r="F6" s="101"/>
      <c r="G6" s="200"/>
      <c r="H6" s="200"/>
    </row>
    <row r="7" spans="1:34" x14ac:dyDescent="0.3">
      <c r="A7" s="1">
        <f t="shared" si="0"/>
        <v>7</v>
      </c>
      <c r="B7" s="1"/>
      <c r="D7" s="101"/>
      <c r="E7" s="101"/>
      <c r="F7" s="101"/>
      <c r="G7" s="200"/>
      <c r="H7" s="200"/>
    </row>
    <row r="8" spans="1:34" x14ac:dyDescent="0.3">
      <c r="A8" s="1">
        <f t="shared" si="0"/>
        <v>8</v>
      </c>
      <c r="B8" s="56"/>
      <c r="D8" s="200"/>
      <c r="E8" s="200"/>
      <c r="F8" s="200"/>
      <c r="G8" s="200"/>
      <c r="H8" s="200"/>
    </row>
    <row r="9" spans="1:34" x14ac:dyDescent="0.3">
      <c r="A9" s="1">
        <f t="shared" si="0"/>
        <v>9</v>
      </c>
      <c r="C9" s="200"/>
      <c r="D9" s="200"/>
      <c r="E9" s="200"/>
      <c r="F9" s="200"/>
      <c r="G9" s="200"/>
      <c r="H9" s="200"/>
    </row>
    <row r="10" spans="1:34" x14ac:dyDescent="0.3">
      <c r="A10" s="1">
        <f t="shared" si="0"/>
        <v>10</v>
      </c>
      <c r="B10" s="27"/>
      <c r="C10" s="203" t="s">
        <v>2</v>
      </c>
      <c r="D10" s="203" t="s">
        <v>2</v>
      </c>
      <c r="E10" s="32" t="str">
        <f>'EMA R1'!D10</f>
        <v>2024 Monthly Bill</v>
      </c>
      <c r="F10" s="32"/>
      <c r="G10" s="32"/>
      <c r="H10" s="133"/>
      <c r="I10" s="32" t="str">
        <f>'EMA R1'!H10</f>
        <v>2025 Illustrative Monthly Bill</v>
      </c>
      <c r="J10" s="32"/>
      <c r="K10" s="32"/>
      <c r="L10" s="23"/>
      <c r="M10" s="32" t="str">
        <f>'EMA R1'!L10</f>
        <v>2025 vs. 2024</v>
      </c>
      <c r="N10" s="32"/>
      <c r="O10" s="27"/>
      <c r="P10" s="32" t="str">
        <f>'EMA R1'!O10</f>
        <v>2026 Illustrative Monthly Bill</v>
      </c>
      <c r="Q10" s="32"/>
      <c r="R10" s="32"/>
      <c r="S10" s="133"/>
      <c r="T10" s="32" t="str">
        <f>'EMA R1'!S10</f>
        <v>2026 vs. 2025</v>
      </c>
      <c r="U10" s="32"/>
      <c r="V10" s="23"/>
      <c r="W10" s="32" t="str">
        <f>'EMA R1'!V10</f>
        <v>2027 Illustrative Monthly Bill</v>
      </c>
      <c r="X10" s="32"/>
      <c r="Y10" s="32"/>
      <c r="Z10" s="133"/>
      <c r="AA10" s="32" t="str">
        <f>'EMA R1'!Z10</f>
        <v>2027 vs. 2026</v>
      </c>
      <c r="AB10" s="32"/>
      <c r="AC10" s="204"/>
      <c r="AD10" s="204"/>
      <c r="AE10" s="204"/>
      <c r="AF10" s="204"/>
      <c r="AG10" s="204"/>
      <c r="AH10" s="204"/>
    </row>
    <row r="11" spans="1:34" x14ac:dyDescent="0.3">
      <c r="A11" s="1">
        <f t="shared" si="0"/>
        <v>11</v>
      </c>
      <c r="B11" s="27"/>
      <c r="C11" s="205" t="s">
        <v>125</v>
      </c>
      <c r="D11" s="205" t="s">
        <v>11</v>
      </c>
      <c r="E11" s="34" t="s">
        <v>48</v>
      </c>
      <c r="F11" s="34" t="s">
        <v>49</v>
      </c>
      <c r="G11" s="34" t="s">
        <v>50</v>
      </c>
      <c r="H11" s="34"/>
      <c r="I11" s="34" t="s">
        <v>48</v>
      </c>
      <c r="J11" s="34" t="s">
        <v>49</v>
      </c>
      <c r="K11" s="34" t="s">
        <v>50</v>
      </c>
      <c r="L11" s="23"/>
      <c r="M11" s="34" t="s">
        <v>51</v>
      </c>
      <c r="N11" s="34" t="s">
        <v>14</v>
      </c>
      <c r="O11" s="34"/>
      <c r="P11" s="34" t="s">
        <v>48</v>
      </c>
      <c r="Q11" s="34" t="s">
        <v>49</v>
      </c>
      <c r="R11" s="34" t="s">
        <v>50</v>
      </c>
      <c r="S11" s="34"/>
      <c r="T11" s="34" t="s">
        <v>51</v>
      </c>
      <c r="U11" s="34" t="s">
        <v>14</v>
      </c>
      <c r="V11" s="23"/>
      <c r="W11" s="34" t="s">
        <v>48</v>
      </c>
      <c r="X11" s="34" t="s">
        <v>49</v>
      </c>
      <c r="Y11" s="34" t="s">
        <v>50</v>
      </c>
      <c r="Z11" s="34"/>
      <c r="AA11" s="34" t="s">
        <v>51</v>
      </c>
      <c r="AB11" s="34" t="s">
        <v>14</v>
      </c>
      <c r="AC11" s="204"/>
      <c r="AD11" s="204"/>
      <c r="AE11" s="204"/>
      <c r="AF11" s="204"/>
      <c r="AG11" s="204"/>
      <c r="AH11" s="204"/>
    </row>
    <row r="12" spans="1:34" x14ac:dyDescent="0.3">
      <c r="A12" s="1">
        <f t="shared" si="0"/>
        <v>12</v>
      </c>
      <c r="C12" s="206"/>
      <c r="D12" s="200"/>
      <c r="E12" s="207"/>
      <c r="H12" s="208"/>
      <c r="I12" s="207"/>
      <c r="J12" s="207"/>
      <c r="K12" s="207"/>
      <c r="L12" s="207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9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</row>
    <row r="13" spans="1:34" x14ac:dyDescent="0.3">
      <c r="A13" s="1">
        <f t="shared" si="0"/>
        <v>13</v>
      </c>
      <c r="C13" s="206" t="s">
        <v>126</v>
      </c>
      <c r="D13" s="104">
        <v>255</v>
      </c>
      <c r="E13" s="207"/>
      <c r="H13" s="208"/>
      <c r="I13" s="207"/>
      <c r="J13" s="207"/>
      <c r="K13" s="207"/>
      <c r="L13" s="207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9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</row>
    <row r="14" spans="1:34" x14ac:dyDescent="0.3">
      <c r="A14" s="1">
        <f t="shared" si="0"/>
        <v>14</v>
      </c>
      <c r="C14" s="105">
        <v>100</v>
      </c>
      <c r="D14" s="106">
        <f t="shared" ref="D14:D20" si="1">C14*$D$13</f>
        <v>25500</v>
      </c>
      <c r="E14" s="210">
        <f>ROUND(IF($C14&lt;1000,$G$80,IF($C14&lt;1500,$G$81,IF($C14&lt;2500,$G$82,0)))+$C14*$G$83+$D14*$E$76*$G$84+$D14*$E$77*$G$85,2)</f>
        <v>3245.04</v>
      </c>
      <c r="F14" s="210">
        <f>+$D14*$G$86</f>
        <v>2657.8650000000002</v>
      </c>
      <c r="G14" s="210">
        <f t="shared" ref="G14:G20" si="2">SUM(E14:F14)</f>
        <v>5902.9050000000007</v>
      </c>
      <c r="H14" s="211"/>
      <c r="I14" s="210">
        <f>ROUND(IF($C14&lt;1000,$I$80,IF($C14&lt;1500,$I$81,IF($C14&lt;2500,$I$82,0)))+$C14*$I$83+$D14*$E$76*$I$84+$D14*$E$77*$I$85,2)</f>
        <v>3717.04</v>
      </c>
      <c r="J14" s="210">
        <f>+$D14*$I$86</f>
        <v>2657.8650000000002</v>
      </c>
      <c r="K14" s="210">
        <f t="shared" ref="K14:K20" si="3">SUM(I14:J14)</f>
        <v>6374.9050000000007</v>
      </c>
      <c r="L14" s="210"/>
      <c r="M14" s="210">
        <f t="shared" ref="M14:M20" si="4">K14-G14</f>
        <v>472</v>
      </c>
      <c r="N14" s="114">
        <f t="shared" ref="N14:N20" si="5">M14/G14</f>
        <v>7.9960629554431242E-2</v>
      </c>
      <c r="O14" s="210"/>
      <c r="P14" s="210">
        <f>ROUND(IF($C14&lt;1000,$J$80,IF($C14&lt;1500,$J$81,IF($C14&lt;2500,$J$82,0)))+$C14*$J$83+$D14*$E$76*$J$84+$D14*$E$77*$J$85,2)</f>
        <v>3792.27</v>
      </c>
      <c r="Q14" s="210">
        <f>+$D14*$J$86</f>
        <v>2657.8650000000002</v>
      </c>
      <c r="R14" s="210">
        <f t="shared" ref="R14:R20" si="6">SUM(P14:Q14)</f>
        <v>6450.1350000000002</v>
      </c>
      <c r="S14" s="210"/>
      <c r="T14" s="210">
        <f>R14-K14</f>
        <v>75.229999999999563</v>
      </c>
      <c r="U14" s="114">
        <f>T14/K14</f>
        <v>1.1800960171171108E-2</v>
      </c>
      <c r="V14" s="210"/>
      <c r="W14" s="210">
        <f>ROUND(IF($C14&lt;1000,$K$80,IF($C14&lt;1500,$K$81,IF($C14&lt;2500,$K$82,0)))+$C14*$K$83+$D14*$E$76*$K$84+$D14*$E$77*$K$85,2)</f>
        <v>3787.17</v>
      </c>
      <c r="X14" s="210">
        <f>+$D14*$K$86</f>
        <v>2657.8650000000002</v>
      </c>
      <c r="Y14" s="210">
        <f t="shared" ref="Y14:Y20" si="7">SUM(W14:X14)</f>
        <v>6445.0349999999999</v>
      </c>
      <c r="Z14" s="210"/>
      <c r="AA14" s="210">
        <f>Y14-R14</f>
        <v>-5.1000000000003638</v>
      </c>
      <c r="AB14" s="114">
        <f>AA14/R14</f>
        <v>-7.9068112527882963E-4</v>
      </c>
      <c r="AC14" s="212"/>
      <c r="AD14" s="212"/>
      <c r="AE14" s="212"/>
      <c r="AF14" s="212"/>
      <c r="AG14" s="212"/>
      <c r="AH14" s="212"/>
    </row>
    <row r="15" spans="1:34" x14ac:dyDescent="0.3">
      <c r="A15" s="1">
        <f t="shared" si="0"/>
        <v>15</v>
      </c>
      <c r="C15" s="105">
        <v>260</v>
      </c>
      <c r="D15" s="106">
        <f t="shared" si="1"/>
        <v>66300</v>
      </c>
      <c r="E15" s="210">
        <f t="shared" ref="E15:E38" si="8">ROUND(IF($C15&lt;1000,$G$80,IF($C15&lt;1500,$G$81,IF($C15&lt;2500,$G$82,0)))+$C15*$G$83+$D15*$E$76*$G$84+$D15*$E$77*$G$85,2)</f>
        <v>7221.1</v>
      </c>
      <c r="F15" s="210">
        <f t="shared" ref="F15:F38" si="9">+$D15*$G$86</f>
        <v>6910.4490000000005</v>
      </c>
      <c r="G15" s="210">
        <f t="shared" si="2"/>
        <v>14131.549000000001</v>
      </c>
      <c r="H15" s="211"/>
      <c r="I15" s="210">
        <f t="shared" ref="I15:I38" si="10">ROUND(IF($C15&lt;1000,$I$80,IF($C15&lt;1500,$I$81,IF($C15&lt;2500,$I$82,0)))+$C15*$I$83+$D15*$E$76*$I$84+$D15*$E$77*$I$85,2)</f>
        <v>8448.31</v>
      </c>
      <c r="J15" s="210">
        <f t="shared" ref="J15:J38" si="11">+$D15*$I$86</f>
        <v>6910.4490000000005</v>
      </c>
      <c r="K15" s="210">
        <f t="shared" si="3"/>
        <v>15358.759</v>
      </c>
      <c r="L15" s="210"/>
      <c r="M15" s="210">
        <f t="shared" si="4"/>
        <v>1227.2099999999991</v>
      </c>
      <c r="N15" s="114">
        <f t="shared" si="5"/>
        <v>8.6841860011241445E-2</v>
      </c>
      <c r="O15" s="210"/>
      <c r="P15" s="210">
        <f t="shared" ref="P15:P38" si="12">ROUND(IF($C15&lt;1000,$J$80,IF($C15&lt;1500,$J$81,IF($C15&lt;2500,$J$82,0)))+$C15*$J$83+$D15*$E$76*$J$84+$D15*$E$77*$J$85,2)</f>
        <v>8643.9</v>
      </c>
      <c r="Q15" s="210">
        <f t="shared" ref="Q15:Q38" si="13">+$D15*$J$86</f>
        <v>6910.4490000000005</v>
      </c>
      <c r="R15" s="210">
        <f t="shared" si="6"/>
        <v>15554.349</v>
      </c>
      <c r="S15" s="210"/>
      <c r="T15" s="210">
        <f t="shared" ref="T15:T38" si="14">R15-K15</f>
        <v>195.59000000000015</v>
      </c>
      <c r="U15" s="114">
        <f t="shared" ref="U15:U38" si="15">T15/K15</f>
        <v>1.2734752853404377E-2</v>
      </c>
      <c r="V15" s="210"/>
      <c r="W15" s="210">
        <f t="shared" ref="W15:W38" si="16">ROUND(IF($C15&lt;1000,$K$80,IF($C15&lt;1500,$K$81,IF($C15&lt;2500,$K$82,0)))+$C15*$K$83+$D15*$E$76*$K$84+$D15*$E$77*$K$85,2)</f>
        <v>8630.64</v>
      </c>
      <c r="X15" s="210">
        <f t="shared" ref="X15:X38" si="17">+$D15*$K$86</f>
        <v>6910.4490000000005</v>
      </c>
      <c r="Y15" s="210">
        <f t="shared" si="7"/>
        <v>15541.089</v>
      </c>
      <c r="Z15" s="210"/>
      <c r="AA15" s="210">
        <f t="shared" ref="AA15:AA38" si="18">Y15-R15</f>
        <v>-13.260000000000218</v>
      </c>
      <c r="AB15" s="114">
        <f t="shared" ref="AB15:AB38" si="19">AA15/R15</f>
        <v>-8.52494694570645E-4</v>
      </c>
      <c r="AC15" s="212"/>
      <c r="AD15" s="212"/>
      <c r="AE15" s="212"/>
      <c r="AF15" s="212"/>
      <c r="AG15" s="212"/>
      <c r="AH15" s="212"/>
    </row>
    <row r="16" spans="1:34" x14ac:dyDescent="0.3">
      <c r="A16" s="1">
        <f t="shared" si="0"/>
        <v>16</v>
      </c>
      <c r="C16" s="105">
        <v>350</v>
      </c>
      <c r="D16" s="106">
        <f t="shared" si="1"/>
        <v>89250</v>
      </c>
      <c r="E16" s="210">
        <f>ROUND(IF($C16&lt;1000,$G$80,IF($C16&lt;1500,$G$81,IF($C16&lt;2500,$G$82,0)))+$C16*$G$83+$D16*$E$76*$G$84+$D16*$E$77*$G$85,2)</f>
        <v>9457.6299999999992</v>
      </c>
      <c r="F16" s="210">
        <f t="shared" si="9"/>
        <v>9302.5275000000001</v>
      </c>
      <c r="G16" s="210">
        <f t="shared" si="2"/>
        <v>18760.157500000001</v>
      </c>
      <c r="H16" s="211"/>
      <c r="I16" s="210">
        <f>ROUND(IF($C16&lt;1000,$I$80,IF($C16&lt;1500,$I$81,IF($C16&lt;2500,$I$82,0)))+$C16*$I$83+$D16*$E$76*$I$84+$D16*$E$77*$I$85,2)</f>
        <v>11109.65</v>
      </c>
      <c r="J16" s="210">
        <f t="shared" si="11"/>
        <v>9302.5275000000001</v>
      </c>
      <c r="K16" s="210">
        <f t="shared" si="3"/>
        <v>20412.177499999998</v>
      </c>
      <c r="L16" s="210"/>
      <c r="M16" s="210">
        <f t="shared" si="4"/>
        <v>1652.0199999999968</v>
      </c>
      <c r="N16" s="114">
        <f t="shared" si="5"/>
        <v>8.8060028280679242E-2</v>
      </c>
      <c r="O16" s="210"/>
      <c r="P16" s="210">
        <f t="shared" si="12"/>
        <v>11372.94</v>
      </c>
      <c r="Q16" s="210">
        <f t="shared" si="13"/>
        <v>9302.5275000000001</v>
      </c>
      <c r="R16" s="210">
        <f t="shared" si="6"/>
        <v>20675.467499999999</v>
      </c>
      <c r="S16" s="210"/>
      <c r="T16" s="210">
        <f t="shared" si="14"/>
        <v>263.29000000000087</v>
      </c>
      <c r="U16" s="114">
        <f t="shared" si="15"/>
        <v>1.2898672863294516E-2</v>
      </c>
      <c r="V16" s="210"/>
      <c r="W16" s="210">
        <f>ROUND(IF($C16&lt;1000,$K$80,IF($C16&lt;1500,$K$81,IF($C16&lt;2500,$K$82,0)))+$C16*$K$83+$D16*$E$76*$K$84+$D16*$E$77*$K$85,2)</f>
        <v>11355.09</v>
      </c>
      <c r="X16" s="210">
        <f>+$D16*$K$86</f>
        <v>9302.5275000000001</v>
      </c>
      <c r="Y16" s="210">
        <f t="shared" si="7"/>
        <v>20657.6175</v>
      </c>
      <c r="Z16" s="210"/>
      <c r="AA16" s="210">
        <f t="shared" si="18"/>
        <v>-17.849999999998545</v>
      </c>
      <c r="AB16" s="114">
        <f t="shared" si="19"/>
        <v>-8.6334202600248555E-4</v>
      </c>
      <c r="AC16" s="212"/>
      <c r="AD16" s="212"/>
      <c r="AE16" s="212"/>
      <c r="AF16" s="212"/>
      <c r="AG16" s="212"/>
      <c r="AH16" s="212"/>
    </row>
    <row r="17" spans="1:34" x14ac:dyDescent="0.3">
      <c r="A17" s="1">
        <f t="shared" si="0"/>
        <v>17</v>
      </c>
      <c r="C17" s="105">
        <v>410</v>
      </c>
      <c r="D17" s="106">
        <f t="shared" si="1"/>
        <v>104550</v>
      </c>
      <c r="E17" s="210">
        <f t="shared" si="8"/>
        <v>10948.66</v>
      </c>
      <c r="F17" s="210">
        <f t="shared" si="9"/>
        <v>10897.246500000001</v>
      </c>
      <c r="G17" s="210">
        <f t="shared" si="2"/>
        <v>21845.906500000001</v>
      </c>
      <c r="H17" s="211"/>
      <c r="I17" s="210">
        <f t="shared" si="10"/>
        <v>12883.88</v>
      </c>
      <c r="J17" s="210">
        <f>+$D17*$I$86</f>
        <v>10897.246500000001</v>
      </c>
      <c r="K17" s="210">
        <f t="shared" si="3"/>
        <v>23781.126499999998</v>
      </c>
      <c r="L17" s="210"/>
      <c r="M17" s="210">
        <f t="shared" si="4"/>
        <v>1935.2199999999975</v>
      </c>
      <c r="N17" s="114">
        <f t="shared" si="5"/>
        <v>8.8585017060289872E-2</v>
      </c>
      <c r="O17" s="210"/>
      <c r="P17" s="210">
        <f>ROUND(IF($C17&lt;1000,$J$80,IF($C17&lt;1500,$J$81,IF($C17&lt;2500,$J$82,0)))+$C17*$J$83+$D17*$E$76*$J$84+$D17*$E$77*$J$85,2)</f>
        <v>13192.3</v>
      </c>
      <c r="Q17" s="210">
        <f t="shared" si="13"/>
        <v>10897.246500000001</v>
      </c>
      <c r="R17" s="210">
        <f t="shared" si="6"/>
        <v>24089.5465</v>
      </c>
      <c r="S17" s="210"/>
      <c r="T17" s="210">
        <f t="shared" si="14"/>
        <v>308.42000000000189</v>
      </c>
      <c r="U17" s="114">
        <f t="shared" si="15"/>
        <v>1.2969108086616582E-2</v>
      </c>
      <c r="V17" s="210"/>
      <c r="W17" s="210">
        <f t="shared" si="16"/>
        <v>13171.39</v>
      </c>
      <c r="X17" s="210">
        <f t="shared" si="17"/>
        <v>10897.246500000001</v>
      </c>
      <c r="Y17" s="210">
        <f t="shared" si="7"/>
        <v>24068.636500000001</v>
      </c>
      <c r="Z17" s="210"/>
      <c r="AA17" s="210">
        <f t="shared" si="18"/>
        <v>-20.909999999999854</v>
      </c>
      <c r="AB17" s="114">
        <f t="shared" si="19"/>
        <v>-8.6801135920096522E-4</v>
      </c>
      <c r="AC17" s="212"/>
      <c r="AD17" s="212"/>
      <c r="AE17" s="212"/>
      <c r="AF17" s="212"/>
      <c r="AG17" s="212"/>
      <c r="AH17" s="212"/>
    </row>
    <row r="18" spans="1:34" x14ac:dyDescent="0.3">
      <c r="A18" s="1">
        <f t="shared" si="0"/>
        <v>18</v>
      </c>
      <c r="C18" s="105">
        <v>525</v>
      </c>
      <c r="D18" s="106">
        <f t="shared" si="1"/>
        <v>133875</v>
      </c>
      <c r="E18" s="210">
        <f t="shared" si="8"/>
        <v>13806.45</v>
      </c>
      <c r="F18" s="210">
        <f>+$D18*$G$86</f>
        <v>13953.79125</v>
      </c>
      <c r="G18" s="210">
        <f t="shared" si="2"/>
        <v>27760.241249999999</v>
      </c>
      <c r="H18" s="211"/>
      <c r="I18" s="210">
        <f t="shared" si="10"/>
        <v>16284.48</v>
      </c>
      <c r="J18" s="210">
        <f t="shared" si="11"/>
        <v>13953.79125</v>
      </c>
      <c r="K18" s="210">
        <f t="shared" si="3"/>
        <v>30238.271249999998</v>
      </c>
      <c r="L18" s="210"/>
      <c r="M18" s="210">
        <f t="shared" si="4"/>
        <v>2478.0299999999988</v>
      </c>
      <c r="N18" s="114">
        <f t="shared" si="5"/>
        <v>8.9265434607849414E-2</v>
      </c>
      <c r="O18" s="210"/>
      <c r="P18" s="210">
        <f t="shared" si="12"/>
        <v>16679.41</v>
      </c>
      <c r="Q18" s="210">
        <f>+$D18*$J$86</f>
        <v>13953.79125</v>
      </c>
      <c r="R18" s="210">
        <f t="shared" si="6"/>
        <v>30633.201249999998</v>
      </c>
      <c r="S18" s="210"/>
      <c r="T18" s="210">
        <f t="shared" si="14"/>
        <v>394.93000000000029</v>
      </c>
      <c r="U18" s="114">
        <f t="shared" si="15"/>
        <v>1.3060601141343367E-2</v>
      </c>
      <c r="V18" s="210"/>
      <c r="W18" s="210">
        <f t="shared" si="16"/>
        <v>16652.63</v>
      </c>
      <c r="X18" s="210">
        <f t="shared" si="17"/>
        <v>13953.79125</v>
      </c>
      <c r="Y18" s="210">
        <f t="shared" si="7"/>
        <v>30606.421249999999</v>
      </c>
      <c r="Z18" s="210"/>
      <c r="AA18" s="210">
        <f t="shared" si="18"/>
        <v>-26.779999999998836</v>
      </c>
      <c r="AB18" s="114">
        <f t="shared" si="19"/>
        <v>-8.7421486841826026E-4</v>
      </c>
      <c r="AC18" s="212"/>
      <c r="AD18" s="212"/>
      <c r="AE18" s="212"/>
      <c r="AF18" s="212"/>
      <c r="AG18" s="212"/>
      <c r="AH18" s="212"/>
    </row>
    <row r="19" spans="1:34" x14ac:dyDescent="0.3">
      <c r="A19" s="1">
        <f t="shared" si="0"/>
        <v>19</v>
      </c>
      <c r="C19" s="105">
        <v>870</v>
      </c>
      <c r="D19" s="106">
        <f t="shared" si="1"/>
        <v>221850</v>
      </c>
      <c r="E19" s="210">
        <f t="shared" si="8"/>
        <v>22379.83</v>
      </c>
      <c r="F19" s="210">
        <f t="shared" si="9"/>
        <v>23123.425500000001</v>
      </c>
      <c r="G19" s="210">
        <f t="shared" si="2"/>
        <v>45503.255499999999</v>
      </c>
      <c r="H19" s="211"/>
      <c r="I19" s="210">
        <f t="shared" si="10"/>
        <v>26486.28</v>
      </c>
      <c r="J19" s="210">
        <f t="shared" si="11"/>
        <v>23123.425500000001</v>
      </c>
      <c r="K19" s="210">
        <f t="shared" si="3"/>
        <v>49609.705499999996</v>
      </c>
      <c r="L19" s="210"/>
      <c r="M19" s="210">
        <f t="shared" si="4"/>
        <v>4106.4499999999971</v>
      </c>
      <c r="N19" s="114">
        <f t="shared" si="5"/>
        <v>9.024519135779191E-2</v>
      </c>
      <c r="O19" s="210"/>
      <c r="P19" s="210">
        <f t="shared" si="12"/>
        <v>27140.74</v>
      </c>
      <c r="Q19" s="210">
        <f t="shared" si="13"/>
        <v>23123.425500000001</v>
      </c>
      <c r="R19" s="210">
        <f t="shared" si="6"/>
        <v>50264.165500000003</v>
      </c>
      <c r="S19" s="210"/>
      <c r="T19" s="210">
        <f t="shared" si="14"/>
        <v>654.4600000000064</v>
      </c>
      <c r="U19" s="114">
        <f t="shared" si="15"/>
        <v>1.3192176680024969E-2</v>
      </c>
      <c r="V19" s="210"/>
      <c r="W19" s="210">
        <f t="shared" si="16"/>
        <v>27096.37</v>
      </c>
      <c r="X19" s="210">
        <f t="shared" si="17"/>
        <v>23123.425500000001</v>
      </c>
      <c r="Y19" s="210">
        <f t="shared" si="7"/>
        <v>50219.7955</v>
      </c>
      <c r="Z19" s="210"/>
      <c r="AA19" s="210">
        <f t="shared" si="18"/>
        <v>-44.370000000002619</v>
      </c>
      <c r="AB19" s="114">
        <f t="shared" si="19"/>
        <v>-8.8273623084427052E-4</v>
      </c>
      <c r="AC19" s="212"/>
      <c r="AD19" s="212"/>
      <c r="AE19" s="212"/>
      <c r="AF19" s="212"/>
      <c r="AG19" s="212"/>
      <c r="AH19" s="212"/>
    </row>
    <row r="20" spans="1:34" x14ac:dyDescent="0.3">
      <c r="A20" s="1">
        <f t="shared" si="0"/>
        <v>20</v>
      </c>
      <c r="B20" s="201" t="s">
        <v>52</v>
      </c>
      <c r="C20" s="106">
        <v>420</v>
      </c>
      <c r="D20" s="106">
        <f t="shared" si="1"/>
        <v>107100</v>
      </c>
      <c r="E20" s="210">
        <f t="shared" si="8"/>
        <v>11197.16</v>
      </c>
      <c r="F20" s="210">
        <f t="shared" si="9"/>
        <v>11163.032999999999</v>
      </c>
      <c r="G20" s="210">
        <f t="shared" si="2"/>
        <v>22360.192999999999</v>
      </c>
      <c r="H20" s="211"/>
      <c r="I20" s="210">
        <f t="shared" si="10"/>
        <v>13179.58</v>
      </c>
      <c r="J20" s="210">
        <f t="shared" si="11"/>
        <v>11163.032999999999</v>
      </c>
      <c r="K20" s="210">
        <f t="shared" si="3"/>
        <v>24342.612999999998</v>
      </c>
      <c r="L20" s="210"/>
      <c r="M20" s="210">
        <f t="shared" si="4"/>
        <v>1982.4199999999983</v>
      </c>
      <c r="N20" s="114">
        <f t="shared" si="5"/>
        <v>8.8658447626100464E-2</v>
      </c>
      <c r="O20" s="210"/>
      <c r="P20" s="210">
        <f t="shared" si="12"/>
        <v>13495.53</v>
      </c>
      <c r="Q20" s="210">
        <f t="shared" si="13"/>
        <v>11163.032999999999</v>
      </c>
      <c r="R20" s="210">
        <f t="shared" si="6"/>
        <v>24658.563000000002</v>
      </c>
      <c r="S20" s="210"/>
      <c r="T20" s="210">
        <f t="shared" si="14"/>
        <v>315.95000000000437</v>
      </c>
      <c r="U20" s="114">
        <f t="shared" si="15"/>
        <v>1.2979296840483164E-2</v>
      </c>
      <c r="V20" s="210"/>
      <c r="W20" s="210">
        <f t="shared" si="16"/>
        <v>13474.11</v>
      </c>
      <c r="X20" s="210">
        <f t="shared" si="17"/>
        <v>11163.032999999999</v>
      </c>
      <c r="Y20" s="210">
        <f t="shared" si="7"/>
        <v>24637.143</v>
      </c>
      <c r="Z20" s="210"/>
      <c r="AA20" s="210">
        <f t="shared" si="18"/>
        <v>-21.420000000001892</v>
      </c>
      <c r="AB20" s="114">
        <f t="shared" si="19"/>
        <v>-8.6866375790032408E-4</v>
      </c>
      <c r="AC20" s="212"/>
      <c r="AD20" s="212"/>
      <c r="AE20" s="212"/>
      <c r="AF20" s="212"/>
      <c r="AG20" s="212"/>
      <c r="AH20" s="212"/>
    </row>
    <row r="21" spans="1:34" x14ac:dyDescent="0.3">
      <c r="A21" s="1">
        <f t="shared" si="0"/>
        <v>21</v>
      </c>
      <c r="C21" s="213"/>
      <c r="D21" s="213"/>
      <c r="E21" s="210"/>
      <c r="F21" s="210"/>
      <c r="G21" s="210"/>
      <c r="H21" s="211"/>
      <c r="I21" s="210"/>
      <c r="J21" s="210"/>
      <c r="K21" s="210"/>
      <c r="L21" s="210"/>
      <c r="M21" s="210"/>
      <c r="N21" s="214"/>
      <c r="O21" s="210"/>
      <c r="P21" s="210"/>
      <c r="Q21" s="210"/>
      <c r="R21" s="210"/>
      <c r="S21" s="210"/>
      <c r="T21" s="210"/>
      <c r="U21" s="114"/>
      <c r="V21" s="210"/>
      <c r="W21" s="210"/>
      <c r="X21" s="210"/>
      <c r="Y21" s="210"/>
      <c r="Z21" s="210"/>
      <c r="AA21" s="210"/>
      <c r="AB21" s="114"/>
    </row>
    <row r="22" spans="1:34" x14ac:dyDescent="0.3">
      <c r="A22" s="1">
        <f t="shared" si="0"/>
        <v>22</v>
      </c>
      <c r="C22" s="206" t="s">
        <v>126</v>
      </c>
      <c r="D22" s="104">
        <v>430</v>
      </c>
      <c r="E22" s="210"/>
      <c r="F22" s="210"/>
      <c r="G22" s="210"/>
      <c r="H22" s="211"/>
      <c r="I22" s="210"/>
      <c r="J22" s="210"/>
      <c r="K22" s="210"/>
      <c r="L22" s="210"/>
      <c r="M22" s="210"/>
      <c r="N22" s="214"/>
      <c r="O22" s="210"/>
      <c r="P22" s="210"/>
      <c r="Q22" s="210"/>
      <c r="R22" s="210"/>
      <c r="S22" s="210"/>
      <c r="T22" s="210"/>
      <c r="U22" s="114"/>
      <c r="V22" s="210"/>
      <c r="W22" s="210"/>
      <c r="X22" s="210"/>
      <c r="Y22" s="210"/>
      <c r="Z22" s="210"/>
      <c r="AA22" s="210"/>
      <c r="AB22" s="114"/>
    </row>
    <row r="23" spans="1:34" x14ac:dyDescent="0.3">
      <c r="A23" s="1">
        <f t="shared" si="0"/>
        <v>23</v>
      </c>
      <c r="C23" s="105">
        <v>140</v>
      </c>
      <c r="D23" s="106">
        <f t="shared" ref="D23:D29" si="20">C23*$D$22</f>
        <v>60200</v>
      </c>
      <c r="E23" s="210">
        <f t="shared" si="8"/>
        <v>4477.37</v>
      </c>
      <c r="F23" s="210">
        <f t="shared" si="9"/>
        <v>6274.6460000000006</v>
      </c>
      <c r="G23" s="210">
        <f t="shared" ref="G23:G29" si="21">SUM(E23:F23)</f>
        <v>10752.016</v>
      </c>
      <c r="H23" s="211"/>
      <c r="I23" s="210">
        <f t="shared" si="10"/>
        <v>5591.67</v>
      </c>
      <c r="J23" s="210">
        <f t="shared" si="11"/>
        <v>6274.6460000000006</v>
      </c>
      <c r="K23" s="210">
        <f t="shared" ref="K23:K29" si="22">SUM(I23:J23)</f>
        <v>11866.316000000001</v>
      </c>
      <c r="L23" s="210"/>
      <c r="M23" s="210">
        <f t="shared" ref="M23:M29" si="23">K23-G23</f>
        <v>1114.3000000000011</v>
      </c>
      <c r="N23" s="114">
        <f t="shared" ref="N23:N29" si="24">M23/G23</f>
        <v>0.10363637851729397</v>
      </c>
      <c r="O23" s="210"/>
      <c r="P23" s="210">
        <f t="shared" si="12"/>
        <v>5769.26</v>
      </c>
      <c r="Q23" s="210">
        <f t="shared" si="13"/>
        <v>6274.6460000000006</v>
      </c>
      <c r="R23" s="210">
        <f t="shared" ref="R23:R29" si="25">SUM(P23:Q23)</f>
        <v>12043.906000000001</v>
      </c>
      <c r="S23" s="210"/>
      <c r="T23" s="210">
        <f t="shared" si="14"/>
        <v>177.59000000000015</v>
      </c>
      <c r="U23" s="114">
        <f t="shared" si="15"/>
        <v>1.4965891688709465E-2</v>
      </c>
      <c r="V23" s="210"/>
      <c r="W23" s="210">
        <f t="shared" si="16"/>
        <v>5757.22</v>
      </c>
      <c r="X23" s="210">
        <f t="shared" si="17"/>
        <v>6274.6460000000006</v>
      </c>
      <c r="Y23" s="210">
        <f t="shared" ref="Y23:Y29" si="26">SUM(W23:X23)</f>
        <v>12031.866000000002</v>
      </c>
      <c r="Z23" s="210"/>
      <c r="AA23" s="210">
        <f t="shared" si="18"/>
        <v>-12.039999999999054</v>
      </c>
      <c r="AB23" s="114">
        <f t="shared" si="19"/>
        <v>-9.9967568660856818E-4</v>
      </c>
      <c r="AC23" s="212"/>
      <c r="AD23" s="212"/>
      <c r="AE23" s="212"/>
      <c r="AF23" s="212"/>
      <c r="AG23" s="212"/>
      <c r="AH23" s="212"/>
    </row>
    <row r="24" spans="1:34" x14ac:dyDescent="0.3">
      <c r="A24" s="1">
        <f t="shared" si="0"/>
        <v>24</v>
      </c>
      <c r="C24" s="105">
        <v>284</v>
      </c>
      <c r="D24" s="106">
        <f t="shared" si="20"/>
        <v>122120</v>
      </c>
      <c r="E24" s="210">
        <f t="shared" si="8"/>
        <v>8300.94</v>
      </c>
      <c r="F24" s="210">
        <f t="shared" si="9"/>
        <v>12728.5676</v>
      </c>
      <c r="G24" s="210">
        <f t="shared" si="21"/>
        <v>21029.507600000001</v>
      </c>
      <c r="H24" s="211"/>
      <c r="I24" s="210">
        <f t="shared" si="10"/>
        <v>10561.38</v>
      </c>
      <c r="J24" s="210">
        <f t="shared" si="11"/>
        <v>12728.5676</v>
      </c>
      <c r="K24" s="210">
        <f t="shared" si="22"/>
        <v>23289.9476</v>
      </c>
      <c r="L24" s="210"/>
      <c r="M24" s="210">
        <f t="shared" si="23"/>
        <v>2260.4399999999987</v>
      </c>
      <c r="N24" s="114">
        <f t="shared" si="24"/>
        <v>0.10748896469644389</v>
      </c>
      <c r="O24" s="210"/>
      <c r="P24" s="210">
        <f t="shared" si="12"/>
        <v>10921.64</v>
      </c>
      <c r="Q24" s="210">
        <f t="shared" si="13"/>
        <v>12728.5676</v>
      </c>
      <c r="R24" s="210">
        <f t="shared" si="25"/>
        <v>23650.207600000002</v>
      </c>
      <c r="S24" s="210"/>
      <c r="T24" s="210">
        <f t="shared" si="14"/>
        <v>360.26000000000204</v>
      </c>
      <c r="U24" s="114">
        <f t="shared" si="15"/>
        <v>1.5468476193566106E-2</v>
      </c>
      <c r="V24" s="210"/>
      <c r="W24" s="210">
        <f t="shared" si="16"/>
        <v>10897.21</v>
      </c>
      <c r="X24" s="210">
        <f t="shared" si="17"/>
        <v>12728.5676</v>
      </c>
      <c r="Y24" s="210">
        <f t="shared" si="26"/>
        <v>23625.777600000001</v>
      </c>
      <c r="Z24" s="210"/>
      <c r="AA24" s="210">
        <f t="shared" si="18"/>
        <v>-24.430000000000291</v>
      </c>
      <c r="AB24" s="114">
        <f t="shared" si="19"/>
        <v>-1.0329719050753824E-3</v>
      </c>
      <c r="AC24" s="212"/>
      <c r="AD24" s="212"/>
      <c r="AE24" s="212"/>
      <c r="AF24" s="212"/>
      <c r="AG24" s="212"/>
      <c r="AH24" s="212"/>
    </row>
    <row r="25" spans="1:34" x14ac:dyDescent="0.3">
      <c r="A25" s="1">
        <f t="shared" si="0"/>
        <v>25</v>
      </c>
      <c r="C25" s="105">
        <v>365</v>
      </c>
      <c r="D25" s="106">
        <f t="shared" si="20"/>
        <v>156950</v>
      </c>
      <c r="E25" s="210">
        <f t="shared" si="8"/>
        <v>10451.700000000001</v>
      </c>
      <c r="F25" s="210">
        <f t="shared" si="9"/>
        <v>16358.898500000001</v>
      </c>
      <c r="G25" s="210">
        <f t="shared" si="21"/>
        <v>26810.5985</v>
      </c>
      <c r="H25" s="211"/>
      <c r="I25" s="210">
        <f t="shared" si="10"/>
        <v>13356.85</v>
      </c>
      <c r="J25" s="210">
        <f t="shared" si="11"/>
        <v>16358.898500000001</v>
      </c>
      <c r="K25" s="210">
        <f t="shared" si="22"/>
        <v>29715.748500000002</v>
      </c>
      <c r="L25" s="210"/>
      <c r="M25" s="210">
        <f t="shared" si="23"/>
        <v>2905.1500000000015</v>
      </c>
      <c r="N25" s="114">
        <f t="shared" si="24"/>
        <v>0.10835826734714638</v>
      </c>
      <c r="O25" s="210"/>
      <c r="P25" s="210">
        <f t="shared" si="12"/>
        <v>13819.85</v>
      </c>
      <c r="Q25" s="210">
        <f t="shared" si="13"/>
        <v>16358.898500000001</v>
      </c>
      <c r="R25" s="210">
        <f t="shared" si="25"/>
        <v>30178.748500000002</v>
      </c>
      <c r="S25" s="210"/>
      <c r="T25" s="210">
        <f t="shared" si="14"/>
        <v>463</v>
      </c>
      <c r="U25" s="114">
        <f t="shared" si="15"/>
        <v>1.5580963743854542E-2</v>
      </c>
      <c r="V25" s="210"/>
      <c r="W25" s="210">
        <f t="shared" si="16"/>
        <v>13788.46</v>
      </c>
      <c r="X25" s="210">
        <f t="shared" si="17"/>
        <v>16358.898500000001</v>
      </c>
      <c r="Y25" s="210">
        <f t="shared" si="26"/>
        <v>30147.358500000002</v>
      </c>
      <c r="Z25" s="210"/>
      <c r="AA25" s="210">
        <f t="shared" si="18"/>
        <v>-31.389999999999418</v>
      </c>
      <c r="AB25" s="114">
        <f t="shared" si="19"/>
        <v>-1.0401359088830146E-3</v>
      </c>
      <c r="AC25" s="212"/>
      <c r="AD25" s="212"/>
      <c r="AE25" s="212"/>
      <c r="AF25" s="212"/>
      <c r="AG25" s="212"/>
      <c r="AH25" s="212"/>
    </row>
    <row r="26" spans="1:34" x14ac:dyDescent="0.3">
      <c r="A26" s="1">
        <f t="shared" si="0"/>
        <v>26</v>
      </c>
      <c r="C26" s="105">
        <v>480</v>
      </c>
      <c r="D26" s="106">
        <f t="shared" si="20"/>
        <v>206400</v>
      </c>
      <c r="E26" s="210">
        <f>ROUND(IF($C26&lt;1000,$G$80,IF($C26&lt;1500,$G$81,IF($C26&lt;2500,$G$82,0)))+$C26*$G$83+$D26*$E$76*$G$84+$D26*$E$77*$G$85,2)</f>
        <v>13505.25</v>
      </c>
      <c r="F26" s="210">
        <f t="shared" si="9"/>
        <v>21513.072</v>
      </c>
      <c r="G26" s="210">
        <f t="shared" si="21"/>
        <v>35018.322</v>
      </c>
      <c r="H26" s="211"/>
      <c r="I26" s="210">
        <f>ROUND(IF($C26&lt;1000,$I$80,IF($C26&lt;1500,$I$81,IF($C26&lt;2500,$I$82,0)))+$C26*$I$83+$D26*$E$76*$I$84+$D26*$E$77*$I$85,2)</f>
        <v>17325.72</v>
      </c>
      <c r="J26" s="210">
        <f t="shared" si="11"/>
        <v>21513.072</v>
      </c>
      <c r="K26" s="210">
        <f t="shared" si="22"/>
        <v>38838.792000000001</v>
      </c>
      <c r="L26" s="210"/>
      <c r="M26" s="210">
        <f t="shared" si="23"/>
        <v>3820.4700000000012</v>
      </c>
      <c r="N26" s="114">
        <f t="shared" si="24"/>
        <v>0.1090991738553321</v>
      </c>
      <c r="O26" s="210"/>
      <c r="P26" s="210">
        <f>ROUND(IF($C26&lt;1000,$J$80,IF($C26&lt;1500,$J$81,IF($C26&lt;2500,$J$82,0)))+$C26*$J$83+$D26*$E$76*$J$84+$D26*$E$77*$J$85,2)</f>
        <v>17934.599999999999</v>
      </c>
      <c r="Q26" s="210">
        <f t="shared" si="13"/>
        <v>21513.072</v>
      </c>
      <c r="R26" s="210">
        <f t="shared" si="25"/>
        <v>39447.671999999999</v>
      </c>
      <c r="S26" s="210"/>
      <c r="T26" s="210">
        <f t="shared" si="14"/>
        <v>608.87999999999738</v>
      </c>
      <c r="U26" s="114">
        <f t="shared" si="15"/>
        <v>1.5677109627920387E-2</v>
      </c>
      <c r="V26" s="210"/>
      <c r="W26" s="210">
        <f t="shared" si="16"/>
        <v>17893.32</v>
      </c>
      <c r="X26" s="210">
        <f t="shared" si="17"/>
        <v>21513.072</v>
      </c>
      <c r="Y26" s="210">
        <f t="shared" si="26"/>
        <v>39406.392</v>
      </c>
      <c r="Z26" s="210"/>
      <c r="AA26" s="210">
        <f t="shared" si="18"/>
        <v>-41.279999999998836</v>
      </c>
      <c r="AB26" s="114">
        <f t="shared" si="19"/>
        <v>-1.0464495851618021E-3</v>
      </c>
      <c r="AC26" s="212"/>
      <c r="AD26" s="212"/>
      <c r="AE26" s="212"/>
      <c r="AF26" s="212"/>
      <c r="AG26" s="212"/>
      <c r="AH26" s="212"/>
    </row>
    <row r="27" spans="1:34" x14ac:dyDescent="0.3">
      <c r="A27" s="1">
        <f t="shared" si="0"/>
        <v>27</v>
      </c>
      <c r="C27" s="105">
        <v>725</v>
      </c>
      <c r="D27" s="106">
        <f t="shared" si="20"/>
        <v>311750</v>
      </c>
      <c r="E27" s="210">
        <f t="shared" si="8"/>
        <v>20010.64</v>
      </c>
      <c r="F27" s="210">
        <f t="shared" si="9"/>
        <v>32493.702499999999</v>
      </c>
      <c r="G27" s="210">
        <f t="shared" si="21"/>
        <v>52504.342499999999</v>
      </c>
      <c r="H27" s="211"/>
      <c r="I27" s="210">
        <f t="shared" si="10"/>
        <v>25781.13</v>
      </c>
      <c r="J27" s="210">
        <f>+$D27*$I$86</f>
        <v>32493.702499999999</v>
      </c>
      <c r="K27" s="210">
        <f t="shared" si="22"/>
        <v>58274.832500000004</v>
      </c>
      <c r="L27" s="210"/>
      <c r="M27" s="210">
        <f t="shared" si="23"/>
        <v>5770.4900000000052</v>
      </c>
      <c r="N27" s="114">
        <f t="shared" si="24"/>
        <v>0.1099050045241497</v>
      </c>
      <c r="O27" s="210"/>
      <c r="P27" s="210">
        <f t="shared" si="12"/>
        <v>26700.799999999999</v>
      </c>
      <c r="Q27" s="210">
        <f>+$D27*$J$86</f>
        <v>32493.702499999999</v>
      </c>
      <c r="R27" s="210">
        <f t="shared" si="25"/>
        <v>59194.502500000002</v>
      </c>
      <c r="S27" s="210"/>
      <c r="T27" s="210">
        <f t="shared" si="14"/>
        <v>919.66999999999825</v>
      </c>
      <c r="U27" s="114">
        <f t="shared" si="15"/>
        <v>1.5781598342646429E-2</v>
      </c>
      <c r="V27" s="210"/>
      <c r="W27" s="210">
        <f>ROUND(IF($C27&lt;1000,$K$80,IF($C27&lt;1500,$K$81,IF($C27&lt;2500,$K$82,0)))+$C27*$K$83+$D27*$E$76*$K$84+$D27*$E$77*$K$85,2)</f>
        <v>26638.45</v>
      </c>
      <c r="X27" s="210">
        <f>+$D27*$K$86</f>
        <v>32493.702499999999</v>
      </c>
      <c r="Y27" s="210">
        <f t="shared" si="26"/>
        <v>59132.152499999997</v>
      </c>
      <c r="Z27" s="210"/>
      <c r="AA27" s="210">
        <f t="shared" si="18"/>
        <v>-62.350000000005821</v>
      </c>
      <c r="AB27" s="114">
        <f t="shared" si="19"/>
        <v>-1.0533072729178832E-3</v>
      </c>
      <c r="AC27" s="212"/>
      <c r="AD27" s="212"/>
      <c r="AE27" s="212"/>
      <c r="AF27" s="212"/>
      <c r="AG27" s="212"/>
      <c r="AH27" s="212"/>
    </row>
    <row r="28" spans="1:34" x14ac:dyDescent="0.3">
      <c r="A28" s="1">
        <f t="shared" si="0"/>
        <v>28</v>
      </c>
      <c r="C28" s="105">
        <v>1150</v>
      </c>
      <c r="D28" s="106">
        <f t="shared" si="20"/>
        <v>494500</v>
      </c>
      <c r="E28" s="210">
        <f t="shared" si="8"/>
        <v>32160.5</v>
      </c>
      <c r="F28" s="210">
        <f>+$D28*$G$86</f>
        <v>51541.735000000001</v>
      </c>
      <c r="G28" s="210">
        <f t="shared" si="21"/>
        <v>83702.235000000001</v>
      </c>
      <c r="H28" s="211"/>
      <c r="I28" s="210">
        <f t="shared" si="10"/>
        <v>41313.699999999997</v>
      </c>
      <c r="J28" s="210">
        <f t="shared" si="11"/>
        <v>51541.735000000001</v>
      </c>
      <c r="K28" s="210">
        <f t="shared" si="22"/>
        <v>92855.434999999998</v>
      </c>
      <c r="L28" s="210"/>
      <c r="M28" s="210">
        <f t="shared" si="23"/>
        <v>9153.1999999999971</v>
      </c>
      <c r="N28" s="114">
        <f t="shared" si="24"/>
        <v>0.10935430816154428</v>
      </c>
      <c r="O28" s="210"/>
      <c r="P28" s="210">
        <f t="shared" si="12"/>
        <v>42772.47</v>
      </c>
      <c r="Q28" s="210">
        <f t="shared" si="13"/>
        <v>51541.735000000001</v>
      </c>
      <c r="R28" s="210">
        <f t="shared" si="25"/>
        <v>94314.205000000002</v>
      </c>
      <c r="S28" s="210"/>
      <c r="T28" s="210">
        <f t="shared" si="14"/>
        <v>1458.7700000000041</v>
      </c>
      <c r="U28" s="114">
        <f t="shared" si="15"/>
        <v>1.5710119714586489E-2</v>
      </c>
      <c r="V28" s="210"/>
      <c r="W28" s="210">
        <f t="shared" si="16"/>
        <v>42673.57</v>
      </c>
      <c r="X28" s="210">
        <f t="shared" si="17"/>
        <v>51541.735000000001</v>
      </c>
      <c r="Y28" s="210">
        <f t="shared" si="26"/>
        <v>94215.304999999993</v>
      </c>
      <c r="Z28" s="210"/>
      <c r="AA28" s="210">
        <f t="shared" si="18"/>
        <v>-98.900000000008731</v>
      </c>
      <c r="AB28" s="114">
        <f t="shared" si="19"/>
        <v>-1.0486225272217343E-3</v>
      </c>
      <c r="AC28" s="212"/>
      <c r="AD28" s="212"/>
      <c r="AE28" s="212"/>
      <c r="AF28" s="212"/>
      <c r="AG28" s="212"/>
      <c r="AH28" s="212"/>
    </row>
    <row r="29" spans="1:34" x14ac:dyDescent="0.3">
      <c r="A29" s="1">
        <f t="shared" si="0"/>
        <v>29</v>
      </c>
      <c r="B29" s="201" t="s">
        <v>52</v>
      </c>
      <c r="C29" s="215">
        <v>525</v>
      </c>
      <c r="D29" s="215">
        <f t="shared" si="20"/>
        <v>225750</v>
      </c>
      <c r="E29" s="210">
        <f t="shared" si="8"/>
        <v>14700.12</v>
      </c>
      <c r="F29" s="210">
        <f t="shared" si="9"/>
        <v>23529.922500000001</v>
      </c>
      <c r="G29" s="210">
        <f t="shared" si="21"/>
        <v>38230.042500000003</v>
      </c>
      <c r="H29" s="211"/>
      <c r="I29" s="210">
        <f t="shared" si="10"/>
        <v>18878.75</v>
      </c>
      <c r="J29" s="210">
        <f t="shared" si="11"/>
        <v>23529.922500000001</v>
      </c>
      <c r="K29" s="210">
        <f t="shared" si="22"/>
        <v>42408.672500000001</v>
      </c>
      <c r="L29" s="210"/>
      <c r="M29" s="210">
        <f t="shared" si="23"/>
        <v>4178.6299999999974</v>
      </c>
      <c r="N29" s="114">
        <f t="shared" si="24"/>
        <v>0.10930225881909487</v>
      </c>
      <c r="O29" s="210"/>
      <c r="P29" s="210">
        <f t="shared" si="12"/>
        <v>19544.72</v>
      </c>
      <c r="Q29" s="210">
        <f t="shared" si="13"/>
        <v>23529.922500000001</v>
      </c>
      <c r="R29" s="210">
        <f t="shared" si="25"/>
        <v>43074.642500000002</v>
      </c>
      <c r="S29" s="210"/>
      <c r="T29" s="210">
        <f t="shared" si="14"/>
        <v>665.97000000000116</v>
      </c>
      <c r="U29" s="114">
        <f t="shared" si="15"/>
        <v>1.5703627601170517E-2</v>
      </c>
      <c r="V29" s="210"/>
      <c r="W29" s="210">
        <f t="shared" si="16"/>
        <v>19499.57</v>
      </c>
      <c r="X29" s="210">
        <f t="shared" si="17"/>
        <v>23529.922500000001</v>
      </c>
      <c r="Y29" s="210">
        <f t="shared" si="26"/>
        <v>43029.4925</v>
      </c>
      <c r="Z29" s="210"/>
      <c r="AA29" s="210">
        <f t="shared" si="18"/>
        <v>-45.150000000001455</v>
      </c>
      <c r="AB29" s="114">
        <f t="shared" si="19"/>
        <v>-1.048180492734245E-3</v>
      </c>
      <c r="AC29" s="212"/>
      <c r="AD29" s="212"/>
      <c r="AE29" s="212"/>
      <c r="AF29" s="212"/>
      <c r="AG29" s="212"/>
      <c r="AH29" s="212"/>
    </row>
    <row r="30" spans="1:34" x14ac:dyDescent="0.3">
      <c r="A30" s="1">
        <f t="shared" si="0"/>
        <v>30</v>
      </c>
      <c r="C30" s="216"/>
      <c r="D30" s="216"/>
      <c r="E30" s="210"/>
      <c r="F30" s="210"/>
      <c r="G30" s="210"/>
      <c r="H30" s="211"/>
      <c r="I30" s="210"/>
      <c r="J30" s="210"/>
      <c r="K30" s="210"/>
      <c r="L30" s="210"/>
      <c r="M30" s="210"/>
      <c r="N30" s="114"/>
      <c r="O30" s="210"/>
      <c r="P30" s="210"/>
      <c r="Q30" s="210"/>
      <c r="R30" s="210"/>
      <c r="S30" s="210"/>
      <c r="T30" s="210"/>
      <c r="U30" s="114"/>
      <c r="V30" s="210"/>
      <c r="W30" s="210"/>
      <c r="X30" s="210"/>
      <c r="Y30" s="210"/>
      <c r="Z30" s="210"/>
      <c r="AA30" s="210"/>
      <c r="AB30" s="114"/>
    </row>
    <row r="31" spans="1:34" x14ac:dyDescent="0.3">
      <c r="A31" s="1">
        <f t="shared" si="0"/>
        <v>31</v>
      </c>
      <c r="C31" s="206" t="s">
        <v>126</v>
      </c>
      <c r="D31" s="104">
        <v>555</v>
      </c>
      <c r="E31" s="210"/>
      <c r="F31" s="210"/>
      <c r="G31" s="210"/>
      <c r="H31" s="211"/>
      <c r="I31" s="210"/>
      <c r="J31" s="210"/>
      <c r="K31" s="210"/>
      <c r="L31" s="210"/>
      <c r="M31" s="210"/>
      <c r="N31" s="214"/>
      <c r="O31" s="210"/>
      <c r="P31" s="210"/>
      <c r="Q31" s="210"/>
      <c r="R31" s="210"/>
      <c r="S31" s="210"/>
      <c r="T31" s="210"/>
      <c r="U31" s="114"/>
      <c r="V31" s="210"/>
      <c r="W31" s="210"/>
      <c r="X31" s="210"/>
      <c r="Y31" s="210"/>
      <c r="Z31" s="210"/>
      <c r="AA31" s="210"/>
      <c r="AB31" s="114"/>
    </row>
    <row r="32" spans="1:34" x14ac:dyDescent="0.3">
      <c r="A32" s="1">
        <f t="shared" si="0"/>
        <v>32</v>
      </c>
      <c r="C32" s="105">
        <v>135</v>
      </c>
      <c r="D32" s="106">
        <f t="shared" ref="D32:D38" si="27">C32*$D$31</f>
        <v>74925</v>
      </c>
      <c r="E32" s="210">
        <f t="shared" si="8"/>
        <v>4508.75</v>
      </c>
      <c r="F32" s="210">
        <f t="shared" si="9"/>
        <v>7809.4327499999999</v>
      </c>
      <c r="G32" s="210">
        <f t="shared" ref="G32:G38" si="28">SUM(E32:F32)</f>
        <v>12318.18275</v>
      </c>
      <c r="H32" s="211"/>
      <c r="I32" s="210">
        <f t="shared" si="10"/>
        <v>5895.61</v>
      </c>
      <c r="J32" s="210">
        <f t="shared" si="11"/>
        <v>7809.4327499999999</v>
      </c>
      <c r="K32" s="210">
        <f t="shared" ref="K32:K38" si="29">SUM(I32:J32)</f>
        <v>13705.042750000001</v>
      </c>
      <c r="L32" s="210"/>
      <c r="M32" s="210">
        <f t="shared" ref="M32:M38" si="30">K32-G32</f>
        <v>1386.8600000000006</v>
      </c>
      <c r="N32" s="114">
        <f t="shared" ref="N32:N38" si="31">M32/G32</f>
        <v>0.11258641214752238</v>
      </c>
      <c r="O32" s="210"/>
      <c r="P32" s="210">
        <f t="shared" si="12"/>
        <v>6116.64</v>
      </c>
      <c r="Q32" s="210">
        <f t="shared" si="13"/>
        <v>7809.4327499999999</v>
      </c>
      <c r="R32" s="210">
        <f t="shared" ref="R32:R38" si="32">SUM(P32:Q32)</f>
        <v>13926.072749999999</v>
      </c>
      <c r="S32" s="210"/>
      <c r="T32" s="210">
        <f t="shared" si="14"/>
        <v>221.02999999999884</v>
      </c>
      <c r="U32" s="114">
        <f t="shared" si="15"/>
        <v>1.6127640316919028E-2</v>
      </c>
      <c r="V32" s="210"/>
      <c r="W32" s="210">
        <f t="shared" si="16"/>
        <v>6101.65</v>
      </c>
      <c r="X32" s="210">
        <f t="shared" si="17"/>
        <v>7809.4327499999999</v>
      </c>
      <c r="Y32" s="210">
        <f t="shared" ref="Y32:Y38" si="33">SUM(W32:X32)</f>
        <v>13911.08275</v>
      </c>
      <c r="Z32" s="210"/>
      <c r="AA32" s="210">
        <f t="shared" si="18"/>
        <v>-14.989999999999782</v>
      </c>
      <c r="AB32" s="114">
        <f t="shared" si="19"/>
        <v>-1.0763982257668287E-3</v>
      </c>
      <c r="AC32" s="17"/>
      <c r="AD32" s="212"/>
      <c r="AE32" s="212"/>
      <c r="AF32" s="212"/>
      <c r="AG32" s="212"/>
      <c r="AH32" s="212"/>
    </row>
    <row r="33" spans="1:34" x14ac:dyDescent="0.3">
      <c r="A33" s="1">
        <f t="shared" si="0"/>
        <v>33</v>
      </c>
      <c r="C33" s="105">
        <v>270</v>
      </c>
      <c r="D33" s="106">
        <f t="shared" si="27"/>
        <v>149850</v>
      </c>
      <c r="E33" s="210">
        <f t="shared" si="8"/>
        <v>8257.49</v>
      </c>
      <c r="F33" s="210">
        <f t="shared" si="9"/>
        <v>15618.8655</v>
      </c>
      <c r="G33" s="210">
        <f t="shared" si="28"/>
        <v>23876.355499999998</v>
      </c>
      <c r="H33" s="211"/>
      <c r="I33" s="210">
        <f t="shared" si="10"/>
        <v>11031.21</v>
      </c>
      <c r="J33" s="210">
        <f t="shared" si="11"/>
        <v>15618.8655</v>
      </c>
      <c r="K33" s="210">
        <f t="shared" si="29"/>
        <v>26650.075499999999</v>
      </c>
      <c r="L33" s="210"/>
      <c r="M33" s="210">
        <f t="shared" si="30"/>
        <v>2773.7200000000012</v>
      </c>
      <c r="N33" s="114">
        <f t="shared" si="31"/>
        <v>0.11617015838116505</v>
      </c>
      <c r="O33" s="210"/>
      <c r="P33" s="210">
        <f t="shared" si="12"/>
        <v>11473.27</v>
      </c>
      <c r="Q33" s="210">
        <f t="shared" si="13"/>
        <v>15618.8655</v>
      </c>
      <c r="R33" s="210">
        <f t="shared" si="32"/>
        <v>27092.1355</v>
      </c>
      <c r="S33" s="210"/>
      <c r="T33" s="210">
        <f t="shared" si="14"/>
        <v>442.06000000000131</v>
      </c>
      <c r="U33" s="114">
        <f t="shared" si="15"/>
        <v>1.6587570267859141E-2</v>
      </c>
      <c r="V33" s="210"/>
      <c r="W33" s="210">
        <f t="shared" si="16"/>
        <v>11443.3</v>
      </c>
      <c r="X33" s="210">
        <f t="shared" si="17"/>
        <v>15618.8655</v>
      </c>
      <c r="Y33" s="210">
        <f t="shared" si="33"/>
        <v>27062.165499999999</v>
      </c>
      <c r="Z33" s="210"/>
      <c r="AA33" s="210">
        <f t="shared" si="18"/>
        <v>-29.970000000001164</v>
      </c>
      <c r="AB33" s="114">
        <f t="shared" si="19"/>
        <v>-1.1062250888270201E-3</v>
      </c>
      <c r="AC33" s="17"/>
      <c r="AD33" s="212"/>
      <c r="AE33" s="212"/>
      <c r="AF33" s="212"/>
      <c r="AG33" s="212"/>
      <c r="AH33" s="212"/>
    </row>
    <row r="34" spans="1:34" x14ac:dyDescent="0.3">
      <c r="A34" s="1">
        <f t="shared" si="0"/>
        <v>34</v>
      </c>
      <c r="C34" s="105">
        <v>350</v>
      </c>
      <c r="D34" s="106">
        <f t="shared" si="27"/>
        <v>194250</v>
      </c>
      <c r="E34" s="210">
        <f t="shared" si="8"/>
        <v>10478.969999999999</v>
      </c>
      <c r="F34" s="210">
        <f t="shared" si="9"/>
        <v>20246.677500000002</v>
      </c>
      <c r="G34" s="210">
        <f t="shared" si="28"/>
        <v>30725.647499999999</v>
      </c>
      <c r="H34" s="211"/>
      <c r="I34" s="210">
        <f t="shared" si="10"/>
        <v>14074.54</v>
      </c>
      <c r="J34" s="210">
        <f t="shared" si="11"/>
        <v>20246.677500000002</v>
      </c>
      <c r="K34" s="210">
        <f t="shared" si="29"/>
        <v>34321.217499999999</v>
      </c>
      <c r="L34" s="210"/>
      <c r="M34" s="210">
        <f t="shared" si="30"/>
        <v>3595.5699999999997</v>
      </c>
      <c r="N34" s="114">
        <f t="shared" si="31"/>
        <v>0.1170217812334142</v>
      </c>
      <c r="O34" s="210"/>
      <c r="P34" s="210">
        <f t="shared" si="12"/>
        <v>14647.57</v>
      </c>
      <c r="Q34" s="210">
        <f>+$D34*$J$86</f>
        <v>20246.677500000002</v>
      </c>
      <c r="R34" s="210">
        <f t="shared" si="32"/>
        <v>34894.247499999998</v>
      </c>
      <c r="S34" s="210"/>
      <c r="T34" s="210">
        <f t="shared" si="14"/>
        <v>573.02999999999884</v>
      </c>
      <c r="U34" s="114">
        <f t="shared" si="15"/>
        <v>1.6696086028999375E-2</v>
      </c>
      <c r="V34" s="210"/>
      <c r="W34" s="210">
        <f>ROUND(IF($C34&lt;1000,$K$80,IF($C34&lt;1500,$K$81,IF($C34&lt;2500,$K$82,0)))+$C34*$K$83+$D34*$E$76*$K$84+$D34*$E$77*$K$85,2)</f>
        <v>14608.72</v>
      </c>
      <c r="X34" s="210">
        <f t="shared" si="17"/>
        <v>20246.677500000002</v>
      </c>
      <c r="Y34" s="210">
        <f t="shared" si="33"/>
        <v>34855.397499999999</v>
      </c>
      <c r="Z34" s="210"/>
      <c r="AA34" s="210">
        <f t="shared" si="18"/>
        <v>-38.849999999998545</v>
      </c>
      <c r="AB34" s="114">
        <f t="shared" si="19"/>
        <v>-1.1133640294148355E-3</v>
      </c>
      <c r="AC34" s="17"/>
      <c r="AD34" s="212"/>
      <c r="AE34" s="212"/>
      <c r="AF34" s="212"/>
      <c r="AG34" s="212"/>
      <c r="AH34" s="212"/>
    </row>
    <row r="35" spans="1:34" x14ac:dyDescent="0.3">
      <c r="A35" s="1">
        <f t="shared" si="0"/>
        <v>35</v>
      </c>
      <c r="C35" s="105">
        <v>500</v>
      </c>
      <c r="D35" s="106">
        <f t="shared" si="27"/>
        <v>277500</v>
      </c>
      <c r="E35" s="210">
        <f>ROUND(IF($C35&lt;1000,$G$80,IF($C35&lt;1500,$G$81,IF($C35&lt;2500,$G$82,0)))+$C35*$G$83+$D35*$E$76*$G$84+$D35*$E$77*$G$85,2)</f>
        <v>14644.24</v>
      </c>
      <c r="F35" s="210">
        <f t="shared" si="9"/>
        <v>28923.825000000001</v>
      </c>
      <c r="G35" s="210">
        <f t="shared" si="28"/>
        <v>43568.065000000002</v>
      </c>
      <c r="H35" s="211"/>
      <c r="I35" s="210">
        <f t="shared" si="10"/>
        <v>19780.77</v>
      </c>
      <c r="J35" s="210">
        <f>+$D35*$I$86</f>
        <v>28923.825000000001</v>
      </c>
      <c r="K35" s="210">
        <f t="shared" si="29"/>
        <v>48704.595000000001</v>
      </c>
      <c r="L35" s="210"/>
      <c r="M35" s="210">
        <f t="shared" si="30"/>
        <v>5136.5299999999988</v>
      </c>
      <c r="N35" s="114">
        <f t="shared" si="31"/>
        <v>0.11789667500725586</v>
      </c>
      <c r="O35" s="210"/>
      <c r="P35" s="210">
        <f t="shared" si="12"/>
        <v>20599.39</v>
      </c>
      <c r="Q35" s="210">
        <f t="shared" si="13"/>
        <v>28923.825000000001</v>
      </c>
      <c r="R35" s="210">
        <f t="shared" si="32"/>
        <v>49523.214999999997</v>
      </c>
      <c r="S35" s="210"/>
      <c r="T35" s="210">
        <f t="shared" si="14"/>
        <v>818.61999999999534</v>
      </c>
      <c r="U35" s="114">
        <f t="shared" si="15"/>
        <v>1.6807859710156615E-2</v>
      </c>
      <c r="V35" s="210"/>
      <c r="W35" s="210">
        <f t="shared" si="16"/>
        <v>20543.89</v>
      </c>
      <c r="X35" s="210">
        <f>+$D35*$K$86</f>
        <v>28923.825000000001</v>
      </c>
      <c r="Y35" s="210">
        <f t="shared" si="33"/>
        <v>49467.714999999997</v>
      </c>
      <c r="Z35" s="210"/>
      <c r="AA35" s="210">
        <f t="shared" si="18"/>
        <v>-55.5</v>
      </c>
      <c r="AB35" s="114">
        <f t="shared" si="19"/>
        <v>-1.1206865305493595E-3</v>
      </c>
      <c r="AC35" s="17"/>
      <c r="AD35" s="212"/>
      <c r="AE35" s="212"/>
      <c r="AF35" s="212"/>
      <c r="AG35" s="212"/>
      <c r="AH35" s="212"/>
    </row>
    <row r="36" spans="1:34" x14ac:dyDescent="0.3">
      <c r="A36" s="1">
        <f t="shared" si="0"/>
        <v>36</v>
      </c>
      <c r="C36" s="105">
        <v>725</v>
      </c>
      <c r="D36" s="106">
        <f t="shared" si="27"/>
        <v>402375</v>
      </c>
      <c r="E36" s="210">
        <f t="shared" si="8"/>
        <v>20892.150000000001</v>
      </c>
      <c r="F36" s="210">
        <f t="shared" si="9"/>
        <v>41939.546249999999</v>
      </c>
      <c r="G36" s="210">
        <f t="shared" si="28"/>
        <v>62831.696250000001</v>
      </c>
      <c r="H36" s="211"/>
      <c r="I36" s="210">
        <f>ROUND(IF($C36&lt;1000,$I$80,IF($C36&lt;1500,$I$81,IF($C36&lt;2500,$I$82,0)))+$C36*$I$83+$D36*$E$76*$I$84+$D36*$E$77*$I$85,2)</f>
        <v>28340.11</v>
      </c>
      <c r="J36" s="210">
        <f t="shared" si="11"/>
        <v>41939.546249999999</v>
      </c>
      <c r="K36" s="210">
        <f t="shared" si="29"/>
        <v>70279.65625</v>
      </c>
      <c r="L36" s="210"/>
      <c r="M36" s="210">
        <f t="shared" si="30"/>
        <v>7447.9599999999991</v>
      </c>
      <c r="N36" s="114">
        <f t="shared" si="31"/>
        <v>0.11853826085428974</v>
      </c>
      <c r="O36" s="210"/>
      <c r="P36" s="210">
        <f>ROUND(IF($C36&lt;1000,$J$80,IF($C36&lt;1500,$J$81,IF($C36&lt;2500,$J$82,0)))+$C36*$J$83+$D36*$E$76*$J$84+$D36*$E$77*$J$85,2)</f>
        <v>29527.119999999999</v>
      </c>
      <c r="Q36" s="210">
        <f t="shared" si="13"/>
        <v>41939.546249999999</v>
      </c>
      <c r="R36" s="210">
        <f t="shared" si="32"/>
        <v>71466.666249999995</v>
      </c>
      <c r="S36" s="210"/>
      <c r="T36" s="210">
        <f t="shared" si="14"/>
        <v>1187.0099999999948</v>
      </c>
      <c r="U36" s="114">
        <f t="shared" si="15"/>
        <v>1.6889809417643457E-2</v>
      </c>
      <c r="V36" s="210"/>
      <c r="W36" s="210">
        <f t="shared" si="16"/>
        <v>29446.639999999999</v>
      </c>
      <c r="X36" s="210">
        <f t="shared" si="17"/>
        <v>41939.546249999999</v>
      </c>
      <c r="Y36" s="210">
        <f t="shared" si="33"/>
        <v>71386.186249999999</v>
      </c>
      <c r="Z36" s="210"/>
      <c r="AA36" s="210">
        <f t="shared" si="18"/>
        <v>-80.479999999995925</v>
      </c>
      <c r="AB36" s="114">
        <f t="shared" si="19"/>
        <v>-1.1261194095505459E-3</v>
      </c>
      <c r="AC36" s="17"/>
      <c r="AD36" s="212"/>
      <c r="AE36" s="212"/>
      <c r="AF36" s="212"/>
      <c r="AG36" s="212"/>
      <c r="AH36" s="212"/>
    </row>
    <row r="37" spans="1:34" x14ac:dyDescent="0.3">
      <c r="A37" s="1">
        <f t="shared" si="0"/>
        <v>37</v>
      </c>
      <c r="C37" s="105">
        <v>1200</v>
      </c>
      <c r="D37" s="106">
        <f t="shared" si="27"/>
        <v>666000</v>
      </c>
      <c r="E37" s="210">
        <f t="shared" si="8"/>
        <v>34947.18</v>
      </c>
      <c r="F37" s="210">
        <f>+$D37*$G$86</f>
        <v>69417.180000000008</v>
      </c>
      <c r="G37" s="210">
        <f t="shared" si="28"/>
        <v>104364.36000000002</v>
      </c>
      <c r="H37" s="211"/>
      <c r="I37" s="210">
        <f t="shared" si="10"/>
        <v>47274.84</v>
      </c>
      <c r="J37" s="210">
        <f t="shared" si="11"/>
        <v>69417.180000000008</v>
      </c>
      <c r="K37" s="210">
        <f t="shared" si="29"/>
        <v>116692.02</v>
      </c>
      <c r="L37" s="210"/>
      <c r="M37" s="210">
        <f t="shared" si="30"/>
        <v>12327.659999999989</v>
      </c>
      <c r="N37" s="114">
        <f t="shared" si="31"/>
        <v>0.1181213586707185</v>
      </c>
      <c r="O37" s="210"/>
      <c r="P37" s="210">
        <f t="shared" si="12"/>
        <v>49239.54</v>
      </c>
      <c r="Q37" s="210">
        <f t="shared" si="13"/>
        <v>69417.180000000008</v>
      </c>
      <c r="R37" s="210">
        <f t="shared" si="32"/>
        <v>118656.72</v>
      </c>
      <c r="S37" s="210"/>
      <c r="T37" s="210">
        <f t="shared" si="14"/>
        <v>1964.6999999999971</v>
      </c>
      <c r="U37" s="114">
        <f t="shared" si="15"/>
        <v>1.6836626874742567E-2</v>
      </c>
      <c r="V37" s="210"/>
      <c r="W37" s="210">
        <f t="shared" si="16"/>
        <v>49106.34</v>
      </c>
      <c r="X37" s="210">
        <f t="shared" si="17"/>
        <v>69417.180000000008</v>
      </c>
      <c r="Y37" s="210">
        <f t="shared" si="33"/>
        <v>118523.52</v>
      </c>
      <c r="Z37" s="210"/>
      <c r="AA37" s="210">
        <f t="shared" si="18"/>
        <v>-133.19999999999709</v>
      </c>
      <c r="AB37" s="114">
        <f t="shared" si="19"/>
        <v>-1.1225660038470394E-3</v>
      </c>
      <c r="AC37" s="17"/>
      <c r="AD37" s="212"/>
      <c r="AE37" s="212"/>
      <c r="AF37" s="212"/>
      <c r="AG37" s="212"/>
      <c r="AH37" s="212"/>
    </row>
    <row r="38" spans="1:34" x14ac:dyDescent="0.3">
      <c r="A38" s="1">
        <f t="shared" si="0"/>
        <v>38</v>
      </c>
      <c r="B38" s="201" t="s">
        <v>52</v>
      </c>
      <c r="C38" s="215">
        <v>530</v>
      </c>
      <c r="D38" s="215">
        <f t="shared" si="27"/>
        <v>294150</v>
      </c>
      <c r="E38" s="210">
        <f t="shared" si="8"/>
        <v>15477.3</v>
      </c>
      <c r="F38" s="210">
        <f t="shared" si="9"/>
        <v>30659.254500000003</v>
      </c>
      <c r="G38" s="210">
        <f t="shared" si="28"/>
        <v>46136.554499999998</v>
      </c>
      <c r="H38" s="211"/>
      <c r="I38" s="210">
        <f t="shared" si="10"/>
        <v>20922.009999999998</v>
      </c>
      <c r="J38" s="210">
        <f t="shared" si="11"/>
        <v>30659.254500000003</v>
      </c>
      <c r="K38" s="210">
        <f t="shared" si="29"/>
        <v>51581.264500000005</v>
      </c>
      <c r="L38" s="210"/>
      <c r="M38" s="210">
        <f t="shared" si="30"/>
        <v>5444.7100000000064</v>
      </c>
      <c r="N38" s="114">
        <f t="shared" si="31"/>
        <v>0.11801293050611325</v>
      </c>
      <c r="O38" s="210"/>
      <c r="P38" s="210">
        <f t="shared" si="12"/>
        <v>21789.759999999998</v>
      </c>
      <c r="Q38" s="210">
        <f t="shared" si="13"/>
        <v>30659.254500000003</v>
      </c>
      <c r="R38" s="210">
        <f t="shared" si="32"/>
        <v>52449.014500000005</v>
      </c>
      <c r="S38" s="210"/>
      <c r="T38" s="210">
        <f t="shared" si="14"/>
        <v>867.75</v>
      </c>
      <c r="U38" s="114">
        <f t="shared" si="15"/>
        <v>1.6822968735091787E-2</v>
      </c>
      <c r="V38" s="210"/>
      <c r="W38" s="210">
        <f t="shared" si="16"/>
        <v>21730.93</v>
      </c>
      <c r="X38" s="210">
        <f t="shared" si="17"/>
        <v>30659.254500000003</v>
      </c>
      <c r="Y38" s="210">
        <f t="shared" si="33"/>
        <v>52390.184500000003</v>
      </c>
      <c r="Z38" s="210"/>
      <c r="AA38" s="210">
        <f t="shared" si="18"/>
        <v>-58.830000000001746</v>
      </c>
      <c r="AB38" s="114">
        <f t="shared" si="19"/>
        <v>-1.1216607320620245E-3</v>
      </c>
      <c r="AC38" s="17"/>
      <c r="AD38" s="212"/>
      <c r="AE38" s="212"/>
      <c r="AF38" s="212"/>
      <c r="AG38" s="212"/>
      <c r="AH38" s="212"/>
    </row>
    <row r="39" spans="1:34" x14ac:dyDescent="0.3">
      <c r="A39" s="1">
        <f t="shared" si="0"/>
        <v>39</v>
      </c>
      <c r="C39" s="216"/>
      <c r="D39" s="216"/>
      <c r="E39" s="210"/>
      <c r="F39" s="210"/>
      <c r="G39" s="210"/>
      <c r="H39" s="211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114"/>
    </row>
    <row r="40" spans="1:34" x14ac:dyDescent="0.3">
      <c r="A40" s="1">
        <f t="shared" si="0"/>
        <v>40</v>
      </c>
      <c r="C40" s="216"/>
      <c r="D40" s="216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</row>
    <row r="41" spans="1:34" x14ac:dyDescent="0.3">
      <c r="A41" s="1">
        <f t="shared" si="0"/>
        <v>41</v>
      </c>
      <c r="C41" s="200" t="s">
        <v>53</v>
      </c>
      <c r="D41" s="200"/>
      <c r="E41" s="211"/>
      <c r="F41" s="211"/>
      <c r="G41" s="45">
        <f>'EMA R1'!H28</f>
        <v>2024</v>
      </c>
      <c r="I41" s="45">
        <f>'EMA R1'!I28</f>
        <v>2025</v>
      </c>
      <c r="J41" s="45">
        <f>'EMA R1'!J28</f>
        <v>2026</v>
      </c>
      <c r="K41" s="45">
        <f>'EMA R1'!L28</f>
        <v>2027</v>
      </c>
      <c r="M41" s="45" t="str">
        <f>'EMA R1'!M28</f>
        <v>2025 v 2024</v>
      </c>
      <c r="N41" s="45" t="str">
        <f>'EMA R1'!O28</f>
        <v>2026 v 2025</v>
      </c>
      <c r="P41" s="45" t="str">
        <f>'EMA R1'!P28</f>
        <v>2027 v 2026</v>
      </c>
      <c r="Q41" s="211"/>
      <c r="R41" s="211"/>
      <c r="S41" s="211"/>
      <c r="T41" s="211"/>
      <c r="U41" s="211"/>
      <c r="V41" s="211"/>
    </row>
    <row r="42" spans="1:34" x14ac:dyDescent="0.3">
      <c r="A42" s="1">
        <f t="shared" si="0"/>
        <v>42</v>
      </c>
      <c r="C42" s="23" t="s">
        <v>53</v>
      </c>
      <c r="D42" s="200"/>
      <c r="E42" s="211"/>
      <c r="F42" s="211"/>
      <c r="G42" s="47" t="s">
        <v>57</v>
      </c>
      <c r="H42" s="217"/>
      <c r="I42" s="47" t="s">
        <v>57</v>
      </c>
      <c r="J42" s="47" t="s">
        <v>57</v>
      </c>
      <c r="K42" s="47" t="s">
        <v>57</v>
      </c>
      <c r="L42" s="37"/>
      <c r="M42" s="48" t="s">
        <v>51</v>
      </c>
      <c r="N42" s="48" t="s">
        <v>51</v>
      </c>
      <c r="O42" s="22"/>
      <c r="P42" s="48" t="s">
        <v>51</v>
      </c>
      <c r="Q42" s="211"/>
      <c r="R42" s="211"/>
      <c r="S42" s="211"/>
      <c r="T42" s="211"/>
      <c r="U42" s="211"/>
      <c r="V42" s="211"/>
    </row>
    <row r="43" spans="1:34" x14ac:dyDescent="0.3">
      <c r="A43" s="1">
        <f t="shared" si="0"/>
        <v>43</v>
      </c>
      <c r="C43" s="200" t="s">
        <v>213</v>
      </c>
      <c r="D43" s="23"/>
      <c r="E43" s="211"/>
      <c r="F43" s="211"/>
      <c r="G43" s="88">
        <v>760</v>
      </c>
      <c r="H43" s="88"/>
      <c r="I43" s="88">
        <f>G43</f>
        <v>760</v>
      </c>
      <c r="J43" s="88">
        <f>G43</f>
        <v>760</v>
      </c>
      <c r="K43" s="88">
        <f>G43</f>
        <v>760</v>
      </c>
      <c r="L43" s="88"/>
      <c r="M43" s="50">
        <f>+I43-G43</f>
        <v>0</v>
      </c>
      <c r="N43" s="50">
        <f>+J43-I43</f>
        <v>0</v>
      </c>
      <c r="O43" s="50"/>
      <c r="P43" s="50">
        <f>+K43-J43</f>
        <v>0</v>
      </c>
      <c r="Q43" s="89" t="s">
        <v>59</v>
      </c>
      <c r="R43" s="211"/>
      <c r="S43" s="211"/>
      <c r="T43" s="211"/>
      <c r="U43" s="211"/>
      <c r="V43" s="211"/>
    </row>
    <row r="44" spans="1:34" x14ac:dyDescent="0.3">
      <c r="A44" s="1">
        <f t="shared" si="0"/>
        <v>44</v>
      </c>
      <c r="C44" s="200" t="s">
        <v>214</v>
      </c>
      <c r="D44" s="200"/>
      <c r="E44" s="211"/>
      <c r="F44" s="211"/>
      <c r="G44" s="88">
        <v>1625</v>
      </c>
      <c r="H44" s="88"/>
      <c r="I44" s="88">
        <f>G44</f>
        <v>1625</v>
      </c>
      <c r="J44" s="88">
        <f t="shared" ref="J44:J74" si="34">G44</f>
        <v>1625</v>
      </c>
      <c r="K44" s="88">
        <f t="shared" ref="K44:K74" si="35">G44</f>
        <v>1625</v>
      </c>
      <c r="M44" s="50">
        <f t="shared" ref="M44:M74" si="36">+I44-G44</f>
        <v>0</v>
      </c>
      <c r="N44" s="50">
        <f t="shared" ref="N44:N74" si="37">+J44-I44</f>
        <v>0</v>
      </c>
      <c r="O44" s="50"/>
      <c r="P44" s="50">
        <f t="shared" ref="P44:P74" si="38">+K44-J44</f>
        <v>0</v>
      </c>
      <c r="Q44" s="89" t="s">
        <v>59</v>
      </c>
      <c r="R44" s="211"/>
      <c r="S44" s="211"/>
      <c r="T44" s="211"/>
      <c r="U44" s="211"/>
      <c r="V44" s="211"/>
    </row>
    <row r="45" spans="1:34" x14ac:dyDescent="0.3">
      <c r="A45" s="1">
        <f t="shared" si="0"/>
        <v>45</v>
      </c>
      <c r="C45" s="200" t="s">
        <v>215</v>
      </c>
      <c r="G45" s="88">
        <v>2700</v>
      </c>
      <c r="H45" s="88"/>
      <c r="I45" s="88">
        <f>G45</f>
        <v>2700</v>
      </c>
      <c r="J45" s="88">
        <f t="shared" si="34"/>
        <v>2700</v>
      </c>
      <c r="K45" s="88">
        <f t="shared" si="35"/>
        <v>2700</v>
      </c>
      <c r="M45" s="50">
        <f t="shared" si="36"/>
        <v>0</v>
      </c>
      <c r="N45" s="50">
        <f t="shared" si="37"/>
        <v>0</v>
      </c>
      <c r="O45" s="50"/>
      <c r="P45" s="50">
        <f t="shared" si="38"/>
        <v>0</v>
      </c>
      <c r="Q45" s="89" t="s">
        <v>59</v>
      </c>
    </row>
    <row r="46" spans="1:34" x14ac:dyDescent="0.3">
      <c r="A46" s="1">
        <f t="shared" si="0"/>
        <v>46</v>
      </c>
      <c r="C46" s="200" t="s">
        <v>216</v>
      </c>
      <c r="D46" s="23"/>
      <c r="E46" s="211"/>
      <c r="F46" s="211"/>
      <c r="G46" s="88">
        <v>9.5</v>
      </c>
      <c r="H46" s="88"/>
      <c r="I46" s="88">
        <f t="shared" ref="I46:I70" si="39">G46</f>
        <v>9.5</v>
      </c>
      <c r="J46" s="88">
        <f t="shared" si="34"/>
        <v>9.5</v>
      </c>
      <c r="K46" s="88">
        <f t="shared" si="35"/>
        <v>9.5</v>
      </c>
      <c r="M46" s="50">
        <f t="shared" si="36"/>
        <v>0</v>
      </c>
      <c r="N46" s="50">
        <f t="shared" si="37"/>
        <v>0</v>
      </c>
      <c r="O46" s="50"/>
      <c r="P46" s="50">
        <f t="shared" si="38"/>
        <v>0</v>
      </c>
      <c r="Q46" s="89" t="s">
        <v>59</v>
      </c>
      <c r="R46" s="211"/>
      <c r="S46" s="211"/>
      <c r="T46" s="211"/>
      <c r="U46" s="211"/>
      <c r="V46" s="211"/>
    </row>
    <row r="47" spans="1:34" x14ac:dyDescent="0.3">
      <c r="A47" s="1">
        <f t="shared" si="0"/>
        <v>47</v>
      </c>
      <c r="C47" s="200" t="s">
        <v>155</v>
      </c>
      <c r="D47" s="23"/>
      <c r="E47" s="211"/>
      <c r="F47" s="211"/>
      <c r="G47" s="91">
        <v>3.1199999999999999E-3</v>
      </c>
      <c r="H47" s="218"/>
      <c r="I47" s="91">
        <f t="shared" si="39"/>
        <v>3.1199999999999999E-3</v>
      </c>
      <c r="J47" s="91">
        <f t="shared" si="34"/>
        <v>3.1199999999999999E-3</v>
      </c>
      <c r="K47" s="91">
        <f t="shared" si="35"/>
        <v>3.1199999999999999E-3</v>
      </c>
      <c r="L47" s="37"/>
      <c r="M47" s="54">
        <f t="shared" si="36"/>
        <v>0</v>
      </c>
      <c r="N47" s="54">
        <f t="shared" si="37"/>
        <v>0</v>
      </c>
      <c r="O47" s="54"/>
      <c r="P47" s="54">
        <f t="shared" si="38"/>
        <v>0</v>
      </c>
      <c r="Q47" s="89" t="s">
        <v>59</v>
      </c>
      <c r="R47" s="211"/>
      <c r="S47" s="211"/>
      <c r="T47" s="211"/>
      <c r="U47" s="211"/>
      <c r="V47" s="211"/>
    </row>
    <row r="48" spans="1:34" x14ac:dyDescent="0.3">
      <c r="A48" s="1">
        <f t="shared" si="0"/>
        <v>48</v>
      </c>
      <c r="C48" s="200" t="s">
        <v>203</v>
      </c>
      <c r="D48" s="23"/>
      <c r="G48" s="91">
        <v>1.0200000000000001E-3</v>
      </c>
      <c r="H48" s="218"/>
      <c r="I48" s="91">
        <f t="shared" si="39"/>
        <v>1.0200000000000001E-3</v>
      </c>
      <c r="J48" s="91">
        <f t="shared" si="34"/>
        <v>1.0200000000000001E-3</v>
      </c>
      <c r="K48" s="91">
        <f t="shared" si="35"/>
        <v>1.0200000000000001E-3</v>
      </c>
      <c r="M48" s="54">
        <f t="shared" si="36"/>
        <v>0</v>
      </c>
      <c r="N48" s="54">
        <f t="shared" si="37"/>
        <v>0</v>
      </c>
      <c r="O48" s="54"/>
      <c r="P48" s="54">
        <f t="shared" si="38"/>
        <v>0</v>
      </c>
      <c r="Q48" s="89" t="s">
        <v>59</v>
      </c>
    </row>
    <row r="49" spans="1:23" x14ac:dyDescent="0.3">
      <c r="A49" s="1">
        <f t="shared" si="0"/>
        <v>49</v>
      </c>
      <c r="C49" s="44" t="str">
        <f>+'BOS G3 NEMA'!C56</f>
        <v>Exogenous Cost Adjustment</v>
      </c>
      <c r="D49" s="23"/>
      <c r="G49" s="91">
        <v>3.3E-4</v>
      </c>
      <c r="H49" s="218"/>
      <c r="I49" s="91">
        <f t="shared" si="39"/>
        <v>3.3E-4</v>
      </c>
      <c r="J49" s="91">
        <f t="shared" si="34"/>
        <v>3.3E-4</v>
      </c>
      <c r="K49" s="91">
        <f t="shared" si="35"/>
        <v>3.3E-4</v>
      </c>
      <c r="M49" s="54">
        <f t="shared" si="36"/>
        <v>0</v>
      </c>
      <c r="N49" s="54">
        <f t="shared" si="37"/>
        <v>0</v>
      </c>
      <c r="O49" s="54"/>
      <c r="P49" s="54">
        <f t="shared" si="38"/>
        <v>0</v>
      </c>
      <c r="Q49" s="89" t="str">
        <f>+'BOS G3 NEMA'!Q56</f>
        <v>ECA</v>
      </c>
    </row>
    <row r="50" spans="1:23" x14ac:dyDescent="0.3">
      <c r="A50" s="1">
        <f t="shared" si="0"/>
        <v>50</v>
      </c>
      <c r="C50" s="44" t="str">
        <f>+'BOS G3 NEMA'!C57</f>
        <v>Revenue Decoupling</v>
      </c>
      <c r="D50" s="23"/>
      <c r="G50" s="91">
        <v>2.0000000000000002E-5</v>
      </c>
      <c r="H50" s="92"/>
      <c r="I50" s="91">
        <f t="shared" si="39"/>
        <v>2.0000000000000002E-5</v>
      </c>
      <c r="J50" s="91">
        <f t="shared" si="34"/>
        <v>2.0000000000000002E-5</v>
      </c>
      <c r="K50" s="91">
        <f t="shared" si="35"/>
        <v>2.0000000000000002E-5</v>
      </c>
      <c r="M50" s="54">
        <f t="shared" si="36"/>
        <v>0</v>
      </c>
      <c r="N50" s="54">
        <f t="shared" si="37"/>
        <v>0</v>
      </c>
      <c r="O50" s="54"/>
      <c r="P50" s="54">
        <f t="shared" si="38"/>
        <v>0</v>
      </c>
      <c r="Q50" s="89" t="str">
        <f>+'BOS G3 NEMA'!Q57</f>
        <v>RDAF</v>
      </c>
      <c r="R50" s="101"/>
      <c r="S50" s="101"/>
      <c r="T50" s="101"/>
      <c r="U50" s="101"/>
      <c r="V50" s="101"/>
      <c r="W50" s="101"/>
    </row>
    <row r="51" spans="1:23" x14ac:dyDescent="0.3">
      <c r="A51" s="1">
        <f t="shared" si="0"/>
        <v>51</v>
      </c>
      <c r="C51" s="44" t="str">
        <f>+'BOS G3 NEMA'!C58</f>
        <v>Distributed Solar Charge</v>
      </c>
      <c r="D51" s="37"/>
      <c r="E51" s="37"/>
      <c r="F51" s="53"/>
      <c r="G51" s="91">
        <v>2.66E-3</v>
      </c>
      <c r="H51" s="53"/>
      <c r="I51" s="91">
        <f t="shared" si="39"/>
        <v>2.66E-3</v>
      </c>
      <c r="J51" s="91">
        <f t="shared" si="34"/>
        <v>2.66E-3</v>
      </c>
      <c r="K51" s="91">
        <f t="shared" si="35"/>
        <v>2.66E-3</v>
      </c>
      <c r="M51" s="54">
        <f t="shared" si="36"/>
        <v>0</v>
      </c>
      <c r="N51" s="54">
        <f t="shared" si="37"/>
        <v>0</v>
      </c>
      <c r="O51" s="54"/>
      <c r="P51" s="54">
        <f t="shared" si="38"/>
        <v>0</v>
      </c>
      <c r="Q51" s="89" t="str">
        <f>+'BOS G3 NEMA'!Q58</f>
        <v>SMART</v>
      </c>
    </row>
    <row r="52" spans="1:23" x14ac:dyDescent="0.3">
      <c r="A52" s="1">
        <f t="shared" si="0"/>
        <v>52</v>
      </c>
      <c r="C52" s="44" t="str">
        <f>+'BOS G3 NEMA'!C59</f>
        <v>Residential Assistance Adjustment Factor</v>
      </c>
      <c r="D52" s="37"/>
      <c r="E52" s="37"/>
      <c r="F52" s="53"/>
      <c r="G52" s="53">
        <v>2.7200000000000002E-3</v>
      </c>
      <c r="H52" s="53"/>
      <c r="I52" s="53">
        <f t="shared" si="39"/>
        <v>2.7200000000000002E-3</v>
      </c>
      <c r="J52" s="53">
        <f t="shared" si="34"/>
        <v>2.7200000000000002E-3</v>
      </c>
      <c r="K52" s="53">
        <f t="shared" si="35"/>
        <v>2.7200000000000002E-3</v>
      </c>
      <c r="M52" s="54">
        <f t="shared" si="36"/>
        <v>0</v>
      </c>
      <c r="N52" s="54">
        <f t="shared" si="37"/>
        <v>0</v>
      </c>
      <c r="O52" s="54"/>
      <c r="P52" s="54">
        <f t="shared" si="38"/>
        <v>0</v>
      </c>
      <c r="Q52" s="89" t="str">
        <f>+'BOS G3 NEMA'!Q59</f>
        <v>RAAF</v>
      </c>
    </row>
    <row r="53" spans="1:23" x14ac:dyDescent="0.3">
      <c r="A53" s="1">
        <f t="shared" si="0"/>
        <v>53</v>
      </c>
      <c r="C53" s="44" t="str">
        <f>+'BOS G3 NEMA'!C60</f>
        <v>Pension Adjustment Factor</v>
      </c>
      <c r="D53" s="23"/>
      <c r="G53" s="53">
        <v>2.7E-4</v>
      </c>
      <c r="H53" s="92"/>
      <c r="I53" s="53">
        <f t="shared" si="39"/>
        <v>2.7E-4</v>
      </c>
      <c r="J53" s="53">
        <f t="shared" si="34"/>
        <v>2.7E-4</v>
      </c>
      <c r="K53" s="53">
        <f t="shared" si="35"/>
        <v>2.7E-4</v>
      </c>
      <c r="M53" s="54">
        <f t="shared" si="36"/>
        <v>0</v>
      </c>
      <c r="N53" s="54">
        <f t="shared" si="37"/>
        <v>0</v>
      </c>
      <c r="O53" s="54"/>
      <c r="P53" s="54">
        <f t="shared" si="38"/>
        <v>0</v>
      </c>
      <c r="Q53" s="89" t="str">
        <f>+'BOS G3 NEMA'!Q60</f>
        <v>PAF</v>
      </c>
      <c r="R53" s="101"/>
      <c r="S53" s="101"/>
      <c r="T53" s="101"/>
      <c r="U53" s="101"/>
      <c r="V53" s="101"/>
      <c r="W53" s="101"/>
    </row>
    <row r="54" spans="1:23" x14ac:dyDescent="0.3">
      <c r="A54" s="1">
        <f t="shared" si="0"/>
        <v>54</v>
      </c>
      <c r="C54" s="44" t="str">
        <f>+'BOS G3 NEMA'!C61</f>
        <v>Net Metering Recovery Surcharge</v>
      </c>
      <c r="D54" s="23"/>
      <c r="G54" s="91">
        <v>5.4000000000000003E-3</v>
      </c>
      <c r="H54" s="118"/>
      <c r="I54" s="91">
        <f t="shared" si="39"/>
        <v>5.4000000000000003E-3</v>
      </c>
      <c r="J54" s="91">
        <f t="shared" si="34"/>
        <v>5.4000000000000003E-3</v>
      </c>
      <c r="K54" s="91">
        <f t="shared" si="35"/>
        <v>5.4000000000000003E-3</v>
      </c>
      <c r="M54" s="54">
        <f t="shared" si="36"/>
        <v>0</v>
      </c>
      <c r="N54" s="54">
        <f t="shared" si="37"/>
        <v>0</v>
      </c>
      <c r="O54" s="54"/>
      <c r="P54" s="54">
        <f t="shared" si="38"/>
        <v>0</v>
      </c>
      <c r="Q54" s="89" t="str">
        <f>+'BOS G3 NEMA'!Q61</f>
        <v>NMRS</v>
      </c>
      <c r="R54" s="101"/>
      <c r="S54" s="101"/>
      <c r="T54" s="101"/>
      <c r="U54" s="101"/>
      <c r="V54" s="101"/>
      <c r="W54" s="101"/>
    </row>
    <row r="55" spans="1:23" x14ac:dyDescent="0.3">
      <c r="A55" s="1">
        <f t="shared" si="0"/>
        <v>55</v>
      </c>
      <c r="C55" s="44" t="str">
        <f>+'BOS G3 NEMA'!C62</f>
        <v>Long Term Renewable Contract Adjustment</v>
      </c>
      <c r="D55" s="23"/>
      <c r="G55" s="53">
        <v>-1.9300000000000001E-3</v>
      </c>
      <c r="H55" s="118"/>
      <c r="I55" s="53">
        <f t="shared" si="39"/>
        <v>-1.9300000000000001E-3</v>
      </c>
      <c r="J55" s="53">
        <f t="shared" si="34"/>
        <v>-1.9300000000000001E-3</v>
      </c>
      <c r="K55" s="53">
        <f t="shared" si="35"/>
        <v>-1.9300000000000001E-3</v>
      </c>
      <c r="M55" s="54">
        <f t="shared" si="36"/>
        <v>0</v>
      </c>
      <c r="N55" s="54">
        <f t="shared" si="37"/>
        <v>0</v>
      </c>
      <c r="O55" s="54"/>
      <c r="P55" s="54">
        <f t="shared" si="38"/>
        <v>0</v>
      </c>
      <c r="Q55" s="89" t="str">
        <f>+'BOS G3 NEMA'!Q62</f>
        <v>LTRCA</v>
      </c>
      <c r="R55" s="101"/>
      <c r="S55" s="101"/>
      <c r="T55" s="101"/>
      <c r="U55" s="101"/>
      <c r="V55" s="101"/>
      <c r="W55" s="101"/>
    </row>
    <row r="56" spans="1:23" x14ac:dyDescent="0.3">
      <c r="A56" s="1">
        <f t="shared" si="0"/>
        <v>56</v>
      </c>
      <c r="C56" s="44" t="str">
        <f>+'BOS G3 NEMA'!C63</f>
        <v>AG Consulting Expense</v>
      </c>
      <c r="D56" s="23"/>
      <c r="G56" s="53">
        <v>1.0000000000000001E-5</v>
      </c>
      <c r="H56" s="118"/>
      <c r="I56" s="53">
        <f t="shared" si="39"/>
        <v>1.0000000000000001E-5</v>
      </c>
      <c r="J56" s="53">
        <f t="shared" si="34"/>
        <v>1.0000000000000001E-5</v>
      </c>
      <c r="K56" s="53">
        <f t="shared" si="35"/>
        <v>1.0000000000000001E-5</v>
      </c>
      <c r="M56" s="54">
        <f t="shared" si="36"/>
        <v>0</v>
      </c>
      <c r="N56" s="54">
        <f t="shared" si="37"/>
        <v>0</v>
      </c>
      <c r="O56" s="54"/>
      <c r="P56" s="54">
        <f t="shared" si="38"/>
        <v>0</v>
      </c>
      <c r="Q56" s="89" t="str">
        <f>+'BOS G3 NEMA'!Q63</f>
        <v>AGCE</v>
      </c>
      <c r="R56" s="101"/>
      <c r="S56" s="101"/>
      <c r="T56" s="101"/>
      <c r="U56" s="101"/>
      <c r="V56" s="101"/>
      <c r="W56" s="101"/>
    </row>
    <row r="57" spans="1:23" x14ac:dyDescent="0.3">
      <c r="A57" s="1">
        <f t="shared" si="0"/>
        <v>57</v>
      </c>
      <c r="C57" s="44" t="str">
        <f>+'BOS G3 NEMA'!C64</f>
        <v>Storm Cost Recovery Adjustment Factor</v>
      </c>
      <c r="D57" s="23"/>
      <c r="G57" s="53">
        <v>2.2100000000000002E-3</v>
      </c>
      <c r="H57" s="88"/>
      <c r="I57" s="53">
        <f t="shared" si="39"/>
        <v>2.2100000000000002E-3</v>
      </c>
      <c r="J57" s="53">
        <f t="shared" si="34"/>
        <v>2.2100000000000002E-3</v>
      </c>
      <c r="K57" s="53">
        <f t="shared" si="35"/>
        <v>2.2100000000000002E-3</v>
      </c>
      <c r="M57" s="54">
        <f t="shared" si="36"/>
        <v>0</v>
      </c>
      <c r="N57" s="54">
        <f t="shared" si="37"/>
        <v>0</v>
      </c>
      <c r="O57" s="54"/>
      <c r="P57" s="54">
        <f t="shared" si="38"/>
        <v>0</v>
      </c>
      <c r="Q57" s="89" t="str">
        <f>+'BOS G3 NEMA'!Q64</f>
        <v>SCRA</v>
      </c>
      <c r="R57" s="101"/>
      <c r="S57" s="101"/>
      <c r="T57" s="101"/>
      <c r="U57" s="101"/>
      <c r="V57" s="101"/>
      <c r="W57" s="101"/>
    </row>
    <row r="58" spans="1:23" x14ac:dyDescent="0.3">
      <c r="A58" s="1">
        <f t="shared" si="0"/>
        <v>58</v>
      </c>
      <c r="C58" s="44" t="str">
        <f>+'BOS G3 NEMA'!C65</f>
        <v>Storm Reserve Adjustment</v>
      </c>
      <c r="D58" s="23"/>
      <c r="G58" s="53">
        <v>0</v>
      </c>
      <c r="H58" s="118"/>
      <c r="I58" s="53">
        <f t="shared" si="39"/>
        <v>0</v>
      </c>
      <c r="J58" s="53">
        <f t="shared" si="34"/>
        <v>0</v>
      </c>
      <c r="K58" s="53">
        <f t="shared" si="35"/>
        <v>0</v>
      </c>
      <c r="M58" s="54">
        <f t="shared" si="36"/>
        <v>0</v>
      </c>
      <c r="N58" s="54">
        <f t="shared" si="37"/>
        <v>0</v>
      </c>
      <c r="O58" s="54"/>
      <c r="P58" s="54">
        <f t="shared" si="38"/>
        <v>0</v>
      </c>
      <c r="Q58" s="89" t="str">
        <f>+'BOS G3 NEMA'!Q65</f>
        <v>SRA</v>
      </c>
      <c r="R58" s="101"/>
      <c r="S58" s="101"/>
      <c r="T58" s="101"/>
      <c r="U58" s="101"/>
      <c r="V58" s="101"/>
      <c r="W58" s="101"/>
    </row>
    <row r="59" spans="1:23" x14ac:dyDescent="0.3">
      <c r="A59" s="1">
        <f t="shared" si="0"/>
        <v>59</v>
      </c>
      <c r="C59" s="44" t="str">
        <f>+'BOS G3 NEMA'!C66</f>
        <v>Basic Service Cost True Up Factor</v>
      </c>
      <c r="D59" s="200"/>
      <c r="E59" s="219"/>
      <c r="F59" s="219"/>
      <c r="G59" s="53">
        <v>-1.4999999999999999E-4</v>
      </c>
      <c r="H59" s="220"/>
      <c r="I59" s="53">
        <f t="shared" si="39"/>
        <v>-1.4999999999999999E-4</v>
      </c>
      <c r="J59" s="53">
        <f t="shared" si="34"/>
        <v>-1.4999999999999999E-4</v>
      </c>
      <c r="K59" s="53">
        <f t="shared" si="35"/>
        <v>-1.4999999999999999E-4</v>
      </c>
      <c r="L59" s="37"/>
      <c r="M59" s="54">
        <f t="shared" si="36"/>
        <v>0</v>
      </c>
      <c r="N59" s="54">
        <f t="shared" si="37"/>
        <v>0</v>
      </c>
      <c r="O59" s="54"/>
      <c r="P59" s="54">
        <f t="shared" si="38"/>
        <v>0</v>
      </c>
      <c r="Q59" s="89" t="str">
        <f>+'BOS G3 NEMA'!Q66</f>
        <v>BSTF</v>
      </c>
    </row>
    <row r="60" spans="1:23" x14ac:dyDescent="0.3">
      <c r="A60" s="1">
        <f t="shared" si="0"/>
        <v>60</v>
      </c>
      <c r="C60" s="44" t="str">
        <f>+'BOS G3 NEMA'!C67</f>
        <v>Solar Program Cost Adjustment Factor</v>
      </c>
      <c r="G60" s="53">
        <v>0</v>
      </c>
      <c r="H60" s="221"/>
      <c r="I60" s="53">
        <f t="shared" si="39"/>
        <v>0</v>
      </c>
      <c r="J60" s="53">
        <f t="shared" si="34"/>
        <v>0</v>
      </c>
      <c r="K60" s="53">
        <f t="shared" si="35"/>
        <v>0</v>
      </c>
      <c r="L60" s="37"/>
      <c r="M60" s="54">
        <f t="shared" si="36"/>
        <v>0</v>
      </c>
      <c r="N60" s="54">
        <f t="shared" si="37"/>
        <v>0</v>
      </c>
      <c r="O60" s="54"/>
      <c r="P60" s="54">
        <f t="shared" si="38"/>
        <v>0</v>
      </c>
      <c r="Q60" s="89" t="str">
        <f>+'BOS G3 NEMA'!Q67</f>
        <v>SPCA</v>
      </c>
    </row>
    <row r="61" spans="1:23" x14ac:dyDescent="0.3">
      <c r="A61" s="1">
        <f t="shared" si="0"/>
        <v>61</v>
      </c>
      <c r="C61" s="44" t="str">
        <f>+'BOS G3 NEMA'!C68</f>
        <v>Solar Expansion Cost Recovery Factor</v>
      </c>
      <c r="G61" s="53">
        <v>-1.7000000000000001E-4</v>
      </c>
      <c r="H61" s="221"/>
      <c r="I61" s="53">
        <f t="shared" si="39"/>
        <v>-1.7000000000000001E-4</v>
      </c>
      <c r="J61" s="53">
        <f t="shared" si="34"/>
        <v>-1.7000000000000001E-4</v>
      </c>
      <c r="K61" s="53">
        <f t="shared" si="35"/>
        <v>-1.7000000000000001E-4</v>
      </c>
      <c r="M61" s="54">
        <f t="shared" si="36"/>
        <v>0</v>
      </c>
      <c r="N61" s="54">
        <f t="shared" si="37"/>
        <v>0</v>
      </c>
      <c r="O61" s="54"/>
      <c r="P61" s="54">
        <f t="shared" si="38"/>
        <v>0</v>
      </c>
      <c r="Q61" s="89" t="str">
        <f>+'BOS G3 NEMA'!Q68</f>
        <v>SECRF</v>
      </c>
    </row>
    <row r="62" spans="1:23" x14ac:dyDescent="0.3">
      <c r="A62" s="1">
        <f t="shared" si="0"/>
        <v>62</v>
      </c>
      <c r="C62" s="44" t="str">
        <f>+'BOS G3 NEMA'!C69</f>
        <v>Vegetation Management</v>
      </c>
      <c r="G62" s="53">
        <v>5.9999999999999995E-4</v>
      </c>
      <c r="H62" s="221"/>
      <c r="I62" s="53">
        <f t="shared" si="39"/>
        <v>5.9999999999999995E-4</v>
      </c>
      <c r="J62" s="53">
        <f t="shared" si="34"/>
        <v>5.9999999999999995E-4</v>
      </c>
      <c r="K62" s="53">
        <f t="shared" si="35"/>
        <v>5.9999999999999995E-4</v>
      </c>
      <c r="M62" s="54">
        <f t="shared" si="36"/>
        <v>0</v>
      </c>
      <c r="N62" s="54">
        <f t="shared" si="37"/>
        <v>0</v>
      </c>
      <c r="O62" s="54"/>
      <c r="P62" s="54">
        <f t="shared" si="38"/>
        <v>0</v>
      </c>
      <c r="Q62" s="89" t="str">
        <f>+'BOS G3 NEMA'!Q69</f>
        <v>RTWF</v>
      </c>
    </row>
    <row r="63" spans="1:23" x14ac:dyDescent="0.3">
      <c r="A63" s="1">
        <f t="shared" si="0"/>
        <v>63</v>
      </c>
      <c r="C63" s="44" t="str">
        <f>+'BOS G3 NEMA'!C70</f>
        <v>Tax Act Credit Factor</v>
      </c>
      <c r="G63" s="53">
        <v>-5.9999999999999995E-4</v>
      </c>
      <c r="H63" s="88"/>
      <c r="I63" s="53">
        <f t="shared" si="39"/>
        <v>-5.9999999999999995E-4</v>
      </c>
      <c r="J63" s="53">
        <f t="shared" si="34"/>
        <v>-5.9999999999999995E-4</v>
      </c>
      <c r="K63" s="53">
        <f t="shared" si="35"/>
        <v>-5.9999999999999995E-4</v>
      </c>
      <c r="M63" s="54">
        <f t="shared" si="36"/>
        <v>0</v>
      </c>
      <c r="N63" s="54">
        <f t="shared" si="37"/>
        <v>0</v>
      </c>
      <c r="O63" s="54"/>
      <c r="P63" s="54">
        <f t="shared" si="38"/>
        <v>0</v>
      </c>
      <c r="Q63" s="89" t="str">
        <f>+'BOS G3 NEMA'!Q70</f>
        <v>TACF</v>
      </c>
    </row>
    <row r="64" spans="1:23" x14ac:dyDescent="0.3">
      <c r="A64" s="1">
        <f t="shared" si="0"/>
        <v>64</v>
      </c>
      <c r="C64" s="44" t="str">
        <f>+'BOS G3 NEMA'!C71</f>
        <v>Grid Modernization</v>
      </c>
      <c r="G64" s="53">
        <v>7.6999999999999996E-4</v>
      </c>
      <c r="H64" s="88"/>
      <c r="I64" s="53">
        <f t="shared" si="39"/>
        <v>7.6999999999999996E-4</v>
      </c>
      <c r="J64" s="53">
        <f t="shared" si="34"/>
        <v>7.6999999999999996E-4</v>
      </c>
      <c r="K64" s="53">
        <f t="shared" si="35"/>
        <v>7.6999999999999996E-4</v>
      </c>
      <c r="M64" s="54">
        <f t="shared" si="36"/>
        <v>0</v>
      </c>
      <c r="N64" s="54">
        <f t="shared" si="37"/>
        <v>0</v>
      </c>
      <c r="O64" s="54"/>
      <c r="P64" s="54">
        <f t="shared" si="38"/>
        <v>0</v>
      </c>
      <c r="Q64" s="89" t="str">
        <f>+'BOS G3 NEMA'!Q71</f>
        <v>GMOD</v>
      </c>
    </row>
    <row r="65" spans="1:17" x14ac:dyDescent="0.3">
      <c r="A65" s="1">
        <f t="shared" si="0"/>
        <v>65</v>
      </c>
      <c r="C65" s="44" t="str">
        <f>+'BOS G3 NEMA'!C72</f>
        <v>Advanced Metering Infrastructure</v>
      </c>
      <c r="G65" s="53">
        <v>1.0200000000000001E-3</v>
      </c>
      <c r="H65" s="88"/>
      <c r="I65" s="53">
        <f t="shared" si="39"/>
        <v>1.0200000000000001E-3</v>
      </c>
      <c r="J65" s="53">
        <f t="shared" si="34"/>
        <v>1.0200000000000001E-3</v>
      </c>
      <c r="K65" s="53">
        <f t="shared" si="35"/>
        <v>1.0200000000000001E-3</v>
      </c>
      <c r="M65" s="54">
        <f t="shared" si="36"/>
        <v>0</v>
      </c>
      <c r="N65" s="54">
        <f t="shared" si="37"/>
        <v>0</v>
      </c>
      <c r="O65" s="54"/>
      <c r="P65" s="54">
        <f t="shared" si="38"/>
        <v>0</v>
      </c>
      <c r="Q65" s="89" t="str">
        <f>+'BOS G3 NEMA'!Q72</f>
        <v>AMIF</v>
      </c>
    </row>
    <row r="66" spans="1:17" x14ac:dyDescent="0.3">
      <c r="A66" s="1">
        <f t="shared" si="0"/>
        <v>66</v>
      </c>
      <c r="C66" s="44" t="str">
        <f>+'BOS G3 NEMA'!C73</f>
        <v>Electronic Payment Recovery</v>
      </c>
      <c r="G66" s="53">
        <v>0</v>
      </c>
      <c r="H66" s="88"/>
      <c r="I66" s="53">
        <f t="shared" si="39"/>
        <v>0</v>
      </c>
      <c r="J66" s="53">
        <f t="shared" si="34"/>
        <v>0</v>
      </c>
      <c r="K66" s="53">
        <f t="shared" si="35"/>
        <v>0</v>
      </c>
      <c r="M66" s="54">
        <f t="shared" si="36"/>
        <v>0</v>
      </c>
      <c r="N66" s="54">
        <f t="shared" si="37"/>
        <v>0</v>
      </c>
      <c r="O66" s="54"/>
      <c r="P66" s="54">
        <f t="shared" si="38"/>
        <v>0</v>
      </c>
      <c r="Q66" s="89" t="str">
        <f>+'BOS G3 NEMA'!Q73</f>
        <v>EPR</v>
      </c>
    </row>
    <row r="67" spans="1:17" x14ac:dyDescent="0.3">
      <c r="A67" s="1">
        <f t="shared" ref="A67:A77" si="40">A66+1</f>
        <v>67</v>
      </c>
      <c r="C67" s="44" t="str">
        <f>+'BOS G3 NEMA'!C74</f>
        <v>Provisional System Planning Factor</v>
      </c>
      <c r="G67" s="91">
        <v>0</v>
      </c>
      <c r="H67" s="88"/>
      <c r="I67" s="91">
        <f>G67</f>
        <v>0</v>
      </c>
      <c r="J67" s="91">
        <f t="shared" si="34"/>
        <v>0</v>
      </c>
      <c r="K67" s="91">
        <f t="shared" si="35"/>
        <v>0</v>
      </c>
      <c r="M67" s="54">
        <f t="shared" si="36"/>
        <v>0</v>
      </c>
      <c r="N67" s="54">
        <f t="shared" si="37"/>
        <v>0</v>
      </c>
      <c r="O67" s="54"/>
      <c r="P67" s="54">
        <f t="shared" si="38"/>
        <v>0</v>
      </c>
      <c r="Q67" s="89" t="str">
        <f>+'BOS G3 NEMA'!Q74</f>
        <v>PSPF</v>
      </c>
    </row>
    <row r="68" spans="1:17" x14ac:dyDescent="0.3">
      <c r="A68" s="1">
        <f t="shared" si="40"/>
        <v>68</v>
      </c>
      <c r="C68" s="44" t="str">
        <f>+'BOS G3 NEMA'!C75</f>
        <v>Electric Vehicle Factor</v>
      </c>
      <c r="G68" s="91">
        <v>4.8000000000000001E-4</v>
      </c>
      <c r="H68" s="88"/>
      <c r="I68" s="91">
        <f t="shared" si="39"/>
        <v>4.8000000000000001E-4</v>
      </c>
      <c r="J68" s="91">
        <f t="shared" si="34"/>
        <v>4.8000000000000001E-4</v>
      </c>
      <c r="K68" s="91">
        <f t="shared" si="35"/>
        <v>4.8000000000000001E-4</v>
      </c>
      <c r="M68" s="54">
        <f t="shared" si="36"/>
        <v>0</v>
      </c>
      <c r="N68" s="54">
        <f t="shared" si="37"/>
        <v>0</v>
      </c>
      <c r="O68" s="54"/>
      <c r="P68" s="54">
        <f t="shared" si="38"/>
        <v>0</v>
      </c>
      <c r="Q68" s="89" t="str">
        <f>+'BOS G3 NEMA'!Q75</f>
        <v>EVF</v>
      </c>
    </row>
    <row r="69" spans="1:17" x14ac:dyDescent="0.3">
      <c r="A69" s="1">
        <f t="shared" si="40"/>
        <v>69</v>
      </c>
      <c r="C69" s="44" t="str">
        <f>+'BOS G3 NEMA'!C76</f>
        <v>Transition</v>
      </c>
      <c r="G69" s="91">
        <v>-3.6999999999999999E-4</v>
      </c>
      <c r="H69" s="88"/>
      <c r="I69" s="91">
        <f t="shared" si="39"/>
        <v>-3.6999999999999999E-4</v>
      </c>
      <c r="J69" s="91">
        <f t="shared" si="34"/>
        <v>-3.6999999999999999E-4</v>
      </c>
      <c r="K69" s="91">
        <f t="shared" si="35"/>
        <v>-3.6999999999999999E-4</v>
      </c>
      <c r="M69" s="54">
        <f t="shared" si="36"/>
        <v>0</v>
      </c>
      <c r="N69" s="54">
        <f t="shared" si="37"/>
        <v>0</v>
      </c>
      <c r="O69" s="54"/>
      <c r="P69" s="54">
        <f t="shared" si="38"/>
        <v>0</v>
      </c>
      <c r="Q69" s="89" t="str">
        <f>+'BOS G3 NEMA'!Q76</f>
        <v>TRNSN</v>
      </c>
    </row>
    <row r="70" spans="1:17" x14ac:dyDescent="0.3">
      <c r="A70" s="1">
        <f t="shared" si="40"/>
        <v>70</v>
      </c>
      <c r="C70" s="44" t="s">
        <v>147</v>
      </c>
      <c r="G70" s="211">
        <v>12.87</v>
      </c>
      <c r="H70" s="211"/>
      <c r="I70" s="211">
        <f t="shared" si="39"/>
        <v>12.87</v>
      </c>
      <c r="J70" s="211">
        <f t="shared" si="34"/>
        <v>12.87</v>
      </c>
      <c r="K70" s="211">
        <f t="shared" si="35"/>
        <v>12.87</v>
      </c>
      <c r="M70" s="50">
        <f t="shared" si="36"/>
        <v>0</v>
      </c>
      <c r="N70" s="50">
        <f t="shared" si="37"/>
        <v>0</v>
      </c>
      <c r="O70" s="50"/>
      <c r="P70" s="50">
        <f t="shared" si="38"/>
        <v>0</v>
      </c>
      <c r="Q70" s="51" t="s">
        <v>104</v>
      </c>
    </row>
    <row r="71" spans="1:17" x14ac:dyDescent="0.3">
      <c r="A71" s="1">
        <f t="shared" si="40"/>
        <v>71</v>
      </c>
      <c r="C71" s="44" t="s">
        <v>105</v>
      </c>
      <c r="G71" s="91">
        <v>-8.1300000000000001E-3</v>
      </c>
      <c r="H71" s="221"/>
      <c r="I71" s="91">
        <v>1.038E-2</v>
      </c>
      <c r="J71" s="91">
        <v>1.333E-2</v>
      </c>
      <c r="K71" s="91">
        <v>1.3129999999999999E-2</v>
      </c>
      <c r="M71" s="54">
        <f t="shared" si="36"/>
        <v>1.8509999999999999E-2</v>
      </c>
      <c r="N71" s="54">
        <f t="shared" si="37"/>
        <v>2.9499999999999995E-3</v>
      </c>
      <c r="O71" s="54"/>
      <c r="P71" s="54">
        <f t="shared" si="38"/>
        <v>-2.0000000000000052E-4</v>
      </c>
      <c r="Q71" s="89" t="s">
        <v>106</v>
      </c>
    </row>
    <row r="72" spans="1:17" x14ac:dyDescent="0.3">
      <c r="A72" s="1">
        <f t="shared" si="40"/>
        <v>72</v>
      </c>
      <c r="C72" s="44" t="s">
        <v>107</v>
      </c>
      <c r="G72" s="91">
        <v>2.5000000000000001E-3</v>
      </c>
      <c r="H72" s="221"/>
      <c r="I72" s="91">
        <f>+G72</f>
        <v>2.5000000000000001E-3</v>
      </c>
      <c r="J72" s="91">
        <f t="shared" si="34"/>
        <v>2.5000000000000001E-3</v>
      </c>
      <c r="K72" s="91">
        <f t="shared" si="35"/>
        <v>2.5000000000000001E-3</v>
      </c>
      <c r="M72" s="54">
        <f t="shared" si="36"/>
        <v>0</v>
      </c>
      <c r="N72" s="54">
        <f t="shared" si="37"/>
        <v>0</v>
      </c>
      <c r="O72" s="54"/>
      <c r="P72" s="54">
        <f t="shared" si="38"/>
        <v>0</v>
      </c>
      <c r="Q72" s="89" t="s">
        <v>108</v>
      </c>
    </row>
    <row r="73" spans="1:17" x14ac:dyDescent="0.3">
      <c r="A73" s="1">
        <f t="shared" si="40"/>
        <v>73</v>
      </c>
      <c r="C73" s="44" t="s">
        <v>109</v>
      </c>
      <c r="G73" s="91">
        <v>5.0000000000000001E-4</v>
      </c>
      <c r="H73" s="221"/>
      <c r="I73" s="91">
        <f>+G73</f>
        <v>5.0000000000000001E-4</v>
      </c>
      <c r="J73" s="91">
        <f t="shared" si="34"/>
        <v>5.0000000000000001E-4</v>
      </c>
      <c r="K73" s="91">
        <f t="shared" si="35"/>
        <v>5.0000000000000001E-4</v>
      </c>
      <c r="M73" s="54">
        <f t="shared" si="36"/>
        <v>0</v>
      </c>
      <c r="N73" s="54">
        <f t="shared" si="37"/>
        <v>0</v>
      </c>
      <c r="O73" s="54"/>
      <c r="P73" s="54">
        <f t="shared" si="38"/>
        <v>0</v>
      </c>
      <c r="Q73" s="89" t="s">
        <v>110</v>
      </c>
    </row>
    <row r="74" spans="1:17" x14ac:dyDescent="0.3">
      <c r="A74" s="1">
        <f t="shared" si="40"/>
        <v>74</v>
      </c>
      <c r="C74" s="44" t="s">
        <v>111</v>
      </c>
      <c r="G74" s="92">
        <v>0.10423</v>
      </c>
      <c r="H74" s="92"/>
      <c r="I74" s="92">
        <f>+G74</f>
        <v>0.10423</v>
      </c>
      <c r="J74" s="92">
        <f t="shared" si="34"/>
        <v>0.10423</v>
      </c>
      <c r="K74" s="92">
        <f t="shared" si="35"/>
        <v>0.10423</v>
      </c>
      <c r="M74" s="54">
        <f t="shared" si="36"/>
        <v>0</v>
      </c>
      <c r="N74" s="54">
        <f t="shared" si="37"/>
        <v>0</v>
      </c>
      <c r="O74" s="54"/>
      <c r="P74" s="54">
        <f t="shared" si="38"/>
        <v>0</v>
      </c>
      <c r="Q74" s="89" t="s">
        <v>112</v>
      </c>
    </row>
    <row r="75" spans="1:17" x14ac:dyDescent="0.3">
      <c r="A75" s="1">
        <f t="shared" si="40"/>
        <v>75</v>
      </c>
      <c r="C75" s="200"/>
      <c r="G75" s="221"/>
      <c r="H75" s="221"/>
      <c r="I75" s="221"/>
      <c r="J75" s="221"/>
    </row>
    <row r="76" spans="1:17" x14ac:dyDescent="0.3">
      <c r="A76" s="1">
        <f t="shared" si="40"/>
        <v>76</v>
      </c>
      <c r="C76" s="222" t="s">
        <v>160</v>
      </c>
      <c r="E76" s="223">
        <v>0.27</v>
      </c>
    </row>
    <row r="77" spans="1:17" x14ac:dyDescent="0.3">
      <c r="A77" s="1">
        <f t="shared" si="40"/>
        <v>77</v>
      </c>
      <c r="C77" s="222" t="s">
        <v>161</v>
      </c>
      <c r="E77" s="223">
        <v>0.73</v>
      </c>
    </row>
    <row r="80" spans="1:17" x14ac:dyDescent="0.3">
      <c r="C80" s="44" t="s">
        <v>213</v>
      </c>
      <c r="G80" s="88">
        <f>+G43</f>
        <v>760</v>
      </c>
      <c r="H80" s="88"/>
      <c r="I80" s="88">
        <f>+I43</f>
        <v>760</v>
      </c>
      <c r="J80" s="88">
        <f t="shared" ref="J80:K82" si="41">+J43</f>
        <v>760</v>
      </c>
      <c r="K80" s="88">
        <f t="shared" si="41"/>
        <v>760</v>
      </c>
    </row>
    <row r="81" spans="3:24" x14ac:dyDescent="0.3">
      <c r="C81" s="44" t="s">
        <v>214</v>
      </c>
      <c r="G81" s="88">
        <f t="shared" ref="G81:I82" si="42">+G44</f>
        <v>1625</v>
      </c>
      <c r="H81" s="88"/>
      <c r="I81" s="88">
        <f t="shared" si="42"/>
        <v>1625</v>
      </c>
      <c r="J81" s="88">
        <f t="shared" si="41"/>
        <v>1625</v>
      </c>
      <c r="K81" s="88">
        <f t="shared" si="41"/>
        <v>1625</v>
      </c>
    </row>
    <row r="82" spans="3:24" x14ac:dyDescent="0.3">
      <c r="C82" s="44" t="s">
        <v>215</v>
      </c>
      <c r="G82" s="88">
        <f t="shared" si="42"/>
        <v>2700</v>
      </c>
      <c r="H82" s="88"/>
      <c r="I82" s="88">
        <f t="shared" si="42"/>
        <v>2700</v>
      </c>
      <c r="J82" s="88">
        <f t="shared" si="41"/>
        <v>2700</v>
      </c>
      <c r="K82" s="88">
        <f t="shared" si="41"/>
        <v>2700</v>
      </c>
    </row>
    <row r="83" spans="3:24" x14ac:dyDescent="0.3">
      <c r="C83" s="44" t="s">
        <v>148</v>
      </c>
      <c r="G83" s="88">
        <f>SUM(G46,G70)</f>
        <v>22.369999999999997</v>
      </c>
      <c r="H83" s="88"/>
      <c r="I83" s="88">
        <f>SUM(I46,I70)</f>
        <v>22.369999999999997</v>
      </c>
      <c r="J83" s="88">
        <f t="shared" ref="J83:K83" si="43">SUM(J46,J70)</f>
        <v>22.369999999999997</v>
      </c>
      <c r="K83" s="88">
        <f t="shared" si="43"/>
        <v>22.369999999999997</v>
      </c>
    </row>
    <row r="84" spans="3:24" x14ac:dyDescent="0.3">
      <c r="C84" s="44" t="s">
        <v>162</v>
      </c>
      <c r="G84" s="91">
        <f>SUM(G47,G49:G69,G71:G73)</f>
        <v>1.1260000000000003E-2</v>
      </c>
      <c r="H84" s="91"/>
      <c r="I84" s="91">
        <f>SUM(I47,I49:I69,I71:I73)</f>
        <v>2.9770000000000001E-2</v>
      </c>
      <c r="J84" s="91">
        <f t="shared" ref="J84:K84" si="44">SUM(J47,J49:J69,J71:J73)</f>
        <v>3.2720000000000006E-2</v>
      </c>
      <c r="K84" s="91">
        <f t="shared" si="44"/>
        <v>3.252E-2</v>
      </c>
    </row>
    <row r="85" spans="3:24" x14ac:dyDescent="0.3">
      <c r="C85" s="44" t="s">
        <v>204</v>
      </c>
      <c r="G85" s="91">
        <f>SUM(G48:G69,G71:G73)</f>
        <v>9.1599999999999997E-3</v>
      </c>
      <c r="H85" s="91"/>
      <c r="I85" s="91">
        <f>SUM(I48:I69,I71:I73)</f>
        <v>2.7669999999999997E-2</v>
      </c>
      <c r="J85" s="91">
        <f t="shared" ref="J85:K85" si="45">SUM(J48:J69,J71:J73)</f>
        <v>3.0619999999999998E-2</v>
      </c>
      <c r="K85" s="91">
        <f t="shared" si="45"/>
        <v>3.0419999999999999E-2</v>
      </c>
    </row>
    <row r="86" spans="3:24" x14ac:dyDescent="0.3">
      <c r="C86" s="44" t="s">
        <v>123</v>
      </c>
      <c r="G86" s="91">
        <f>+G74</f>
        <v>0.10423</v>
      </c>
      <c r="H86" s="91"/>
      <c r="I86" s="91">
        <f>+I74</f>
        <v>0.10423</v>
      </c>
      <c r="J86" s="91">
        <f>+J74</f>
        <v>0.10423</v>
      </c>
      <c r="K86" s="91">
        <f t="shared" ref="K86" si="46">+K74</f>
        <v>0.10423</v>
      </c>
    </row>
    <row r="95" spans="3:24" x14ac:dyDescent="0.3">
      <c r="C95" s="190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</row>
    <row r="96" spans="3:24" x14ac:dyDescent="0.3">
      <c r="C96" s="224"/>
      <c r="D96" s="224"/>
      <c r="E96" s="225"/>
      <c r="F96" s="225"/>
      <c r="G96" s="225"/>
      <c r="H96" s="226"/>
      <c r="I96" s="225"/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7"/>
      <c r="X96" s="144"/>
    </row>
    <row r="98" spans="3:23" x14ac:dyDescent="0.3">
      <c r="C98" s="224"/>
      <c r="D98" s="224"/>
      <c r="E98" s="225"/>
      <c r="F98" s="225"/>
      <c r="G98" s="225"/>
      <c r="H98" s="226"/>
      <c r="I98" s="225"/>
      <c r="J98" s="225"/>
      <c r="K98" s="225"/>
      <c r="L98" s="225"/>
      <c r="M98" s="225"/>
      <c r="N98" s="225"/>
      <c r="O98" s="225"/>
      <c r="P98" s="225"/>
      <c r="Q98" s="225"/>
      <c r="R98" s="225"/>
      <c r="S98" s="225"/>
      <c r="T98" s="225"/>
      <c r="U98" s="225"/>
      <c r="V98" s="225"/>
      <c r="W98" s="227"/>
    </row>
  </sheetData>
  <mergeCells count="7">
    <mergeCell ref="AA10:AB10"/>
    <mergeCell ref="E10:G10"/>
    <mergeCell ref="I10:K10"/>
    <mergeCell ref="M10:N10"/>
    <mergeCell ref="P10:R10"/>
    <mergeCell ref="T10:U10"/>
    <mergeCell ref="W10:Y10"/>
  </mergeCells>
  <pageMargins left="0.7" right="0.7" top="0.75" bottom="0.75" header="0.3" footer="0.3"/>
  <pageSetup scale="34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F8A9-F22F-4B9B-B73A-CA934D729D68}">
  <sheetPr>
    <tabColor theme="3" tint="0.59999389629810485"/>
    <pageSetUpPr fitToPage="1"/>
  </sheetPr>
  <dimension ref="A1:AF107"/>
  <sheetViews>
    <sheetView zoomScaleNormal="100" workbookViewId="0"/>
  </sheetViews>
  <sheetFormatPr defaultColWidth="9.1796875" defaultRowHeight="14" x14ac:dyDescent="0.3"/>
  <cols>
    <col min="1" max="1" width="4" style="2" customWidth="1"/>
    <col min="2" max="2" width="4.453125" style="2" bestFit="1" customWidth="1"/>
    <col min="3" max="4" width="12.1796875" style="2" customWidth="1"/>
    <col min="5" max="5" width="13.08984375" style="2" bestFit="1" customWidth="1"/>
    <col min="6" max="7" width="13.453125" style="2" bestFit="1" customWidth="1"/>
    <col min="8" max="8" width="2" style="2" customWidth="1"/>
    <col min="9" max="11" width="13.453125" style="2" bestFit="1" customWidth="1"/>
    <col min="12" max="12" width="2" style="2" customWidth="1"/>
    <col min="13" max="13" width="12.6328125" style="2" bestFit="1" customWidth="1"/>
    <col min="14" max="14" width="11.81640625" style="2" customWidth="1"/>
    <col min="15" max="15" width="2" style="2" customWidth="1"/>
    <col min="16" max="18" width="13.453125" style="2" bestFit="1" customWidth="1"/>
    <col min="19" max="19" width="2" style="2" customWidth="1"/>
    <col min="20" max="21" width="11.81640625" style="2" customWidth="1"/>
    <col min="22" max="22" width="2" style="2" customWidth="1"/>
    <col min="23" max="25" width="13.453125" style="2" bestFit="1" customWidth="1"/>
    <col min="26" max="26" width="2" style="2" customWidth="1"/>
    <col min="27" max="28" width="11.81640625" style="2" customWidth="1"/>
    <col min="29" max="16384" width="9.1796875" style="2"/>
  </cols>
  <sheetData>
    <row r="1" spans="1:32" x14ac:dyDescent="0.3">
      <c r="A1" s="1">
        <v>1</v>
      </c>
      <c r="B1" s="201"/>
      <c r="C1" s="69"/>
      <c r="D1" s="198"/>
      <c r="E1" s="198"/>
      <c r="F1" s="198"/>
      <c r="G1" s="199"/>
      <c r="H1" s="200"/>
    </row>
    <row r="2" spans="1:32" x14ac:dyDescent="0.3">
      <c r="A2" s="1">
        <f>A1+1</f>
        <v>2</v>
      </c>
      <c r="C2" s="70"/>
      <c r="D2" s="198"/>
      <c r="E2" s="198"/>
      <c r="F2" s="198"/>
      <c r="G2" s="70"/>
      <c r="H2" s="200"/>
    </row>
    <row r="3" spans="1:32" x14ac:dyDescent="0.3">
      <c r="A3" s="1">
        <f t="shared" ref="A3:A66" si="0">A2+1</f>
        <v>3</v>
      </c>
      <c r="B3" s="24" t="s">
        <v>115</v>
      </c>
      <c r="C3" s="200"/>
      <c r="D3" s="200"/>
      <c r="E3" s="200"/>
      <c r="F3" s="200"/>
      <c r="G3" s="70"/>
      <c r="H3" s="228"/>
    </row>
    <row r="4" spans="1:32" x14ac:dyDescent="0.3">
      <c r="A4" s="1">
        <f t="shared" si="0"/>
        <v>4</v>
      </c>
      <c r="B4" s="24" t="s">
        <v>41</v>
      </c>
      <c r="D4" s="101"/>
      <c r="E4" s="101"/>
      <c r="F4" s="101"/>
      <c r="G4" s="200"/>
      <c r="H4" s="200"/>
    </row>
    <row r="5" spans="1:32" x14ac:dyDescent="0.3">
      <c r="A5" s="1">
        <f t="shared" si="0"/>
        <v>5</v>
      </c>
      <c r="B5" s="24"/>
      <c r="D5" s="101"/>
      <c r="E5" s="101"/>
      <c r="F5" s="101"/>
      <c r="G5" s="200"/>
      <c r="H5" s="200"/>
    </row>
    <row r="6" spans="1:32" x14ac:dyDescent="0.3">
      <c r="A6" s="1">
        <f t="shared" si="0"/>
        <v>6</v>
      </c>
      <c r="B6" s="24" t="s">
        <v>217</v>
      </c>
      <c r="D6" s="101"/>
      <c r="E6" s="101"/>
      <c r="F6" s="101"/>
      <c r="G6" s="200"/>
      <c r="H6" s="200"/>
    </row>
    <row r="7" spans="1:32" x14ac:dyDescent="0.3">
      <c r="A7" s="1">
        <f t="shared" si="0"/>
        <v>7</v>
      </c>
      <c r="B7" s="201"/>
      <c r="D7" s="101"/>
      <c r="E7" s="101"/>
      <c r="F7" s="101"/>
      <c r="G7" s="200"/>
      <c r="H7" s="200"/>
    </row>
    <row r="8" spans="1:32" x14ac:dyDescent="0.3">
      <c r="A8" s="1">
        <f t="shared" si="0"/>
        <v>8</v>
      </c>
      <c r="B8" s="56"/>
      <c r="D8" s="200"/>
      <c r="E8" s="200"/>
      <c r="F8" s="200"/>
      <c r="G8" s="200"/>
      <c r="H8" s="200"/>
    </row>
    <row r="9" spans="1:32" x14ac:dyDescent="0.3">
      <c r="A9" s="1">
        <f t="shared" si="0"/>
        <v>9</v>
      </c>
      <c r="C9" s="229"/>
      <c r="D9" s="198"/>
      <c r="H9" s="200"/>
    </row>
    <row r="10" spans="1:32" x14ac:dyDescent="0.3">
      <c r="A10" s="1">
        <f t="shared" si="0"/>
        <v>10</v>
      </c>
      <c r="B10" s="27"/>
      <c r="C10" s="213" t="str">
        <f>+'WMA G3'!C10</f>
        <v>Monthly</v>
      </c>
      <c r="D10" s="213" t="str">
        <f>+'WMA G3'!D10</f>
        <v>Monthly</v>
      </c>
      <c r="E10" s="32" t="str">
        <f>'EMA R1'!D10</f>
        <v>2024 Monthly Bill</v>
      </c>
      <c r="F10" s="32"/>
      <c r="G10" s="32"/>
      <c r="H10" s="133"/>
      <c r="I10" s="32" t="str">
        <f>'EMA R1'!H10</f>
        <v>2025 Illustrative Monthly Bill</v>
      </c>
      <c r="J10" s="32"/>
      <c r="K10" s="32"/>
      <c r="L10" s="23"/>
      <c r="M10" s="32" t="str">
        <f>'EMA R1'!L10</f>
        <v>2025 vs. 2024</v>
      </c>
      <c r="N10" s="32"/>
      <c r="O10" s="27"/>
      <c r="P10" s="32" t="str">
        <f>'EMA R1'!O10</f>
        <v>2026 Illustrative Monthly Bill</v>
      </c>
      <c r="Q10" s="32"/>
      <c r="R10" s="32"/>
      <c r="S10" s="133"/>
      <c r="T10" s="32" t="str">
        <f>'EMA R1'!S10</f>
        <v>2026 vs. 2025</v>
      </c>
      <c r="U10" s="32"/>
      <c r="V10" s="23"/>
      <c r="W10" s="32" t="str">
        <f>'EMA R1'!V10</f>
        <v>2027 Illustrative Monthly Bill</v>
      </c>
      <c r="X10" s="32"/>
      <c r="Y10" s="32"/>
      <c r="Z10" s="133"/>
      <c r="AA10" s="32" t="str">
        <f>'EMA R1'!Z10</f>
        <v>2027 vs. 2026</v>
      </c>
      <c r="AB10" s="32"/>
      <c r="AC10" s="204"/>
      <c r="AD10" s="204"/>
      <c r="AE10" s="204"/>
      <c r="AF10" s="204"/>
    </row>
    <row r="11" spans="1:32" x14ac:dyDescent="0.3">
      <c r="A11" s="1">
        <f t="shared" si="0"/>
        <v>11</v>
      </c>
      <c r="B11" s="27"/>
      <c r="C11" s="230" t="str">
        <f>+'WMA G3'!C11</f>
        <v>kW</v>
      </c>
      <c r="D11" s="230" t="str">
        <f>+'WMA G3'!D11</f>
        <v>kWh</v>
      </c>
      <c r="E11" s="34" t="s">
        <v>48</v>
      </c>
      <c r="F11" s="34" t="s">
        <v>49</v>
      </c>
      <c r="G11" s="34" t="s">
        <v>50</v>
      </c>
      <c r="H11" s="34"/>
      <c r="I11" s="34" t="s">
        <v>48</v>
      </c>
      <c r="J11" s="34" t="s">
        <v>49</v>
      </c>
      <c r="K11" s="34" t="s">
        <v>50</v>
      </c>
      <c r="L11" s="23"/>
      <c r="M11" s="34" t="s">
        <v>51</v>
      </c>
      <c r="N11" s="34" t="s">
        <v>14</v>
      </c>
      <c r="O11" s="34"/>
      <c r="P11" s="34" t="s">
        <v>48</v>
      </c>
      <c r="Q11" s="34" t="s">
        <v>49</v>
      </c>
      <c r="R11" s="34" t="s">
        <v>50</v>
      </c>
      <c r="S11" s="34"/>
      <c r="T11" s="34" t="s">
        <v>51</v>
      </c>
      <c r="U11" s="34" t="s">
        <v>14</v>
      </c>
      <c r="V11" s="23"/>
      <c r="W11" s="34" t="s">
        <v>48</v>
      </c>
      <c r="X11" s="34" t="s">
        <v>49</v>
      </c>
      <c r="Y11" s="34" t="s">
        <v>50</v>
      </c>
      <c r="Z11" s="34"/>
      <c r="AA11" s="34" t="s">
        <v>51</v>
      </c>
      <c r="AB11" s="34" t="s">
        <v>14</v>
      </c>
      <c r="AC11" s="204"/>
      <c r="AD11" s="204"/>
      <c r="AE11" s="204"/>
      <c r="AF11" s="204"/>
    </row>
    <row r="12" spans="1:32" x14ac:dyDescent="0.3">
      <c r="A12" s="1">
        <f t="shared" si="0"/>
        <v>12</v>
      </c>
      <c r="C12" s="230"/>
      <c r="D12" s="230"/>
      <c r="E12" s="207"/>
      <c r="H12" s="208"/>
      <c r="I12" s="207"/>
      <c r="J12" s="207"/>
      <c r="K12" s="207"/>
      <c r="L12" s="207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9"/>
      <c r="Y12" s="204"/>
      <c r="Z12" s="204"/>
      <c r="AA12" s="204"/>
      <c r="AB12" s="204"/>
      <c r="AC12" s="204"/>
      <c r="AD12" s="204"/>
      <c r="AE12" s="204"/>
      <c r="AF12" s="204"/>
    </row>
    <row r="13" spans="1:32" x14ac:dyDescent="0.3">
      <c r="A13" s="1">
        <f t="shared" si="0"/>
        <v>13</v>
      </c>
      <c r="C13" s="206" t="s">
        <v>126</v>
      </c>
      <c r="D13" s="104">
        <v>260</v>
      </c>
      <c r="E13" s="207"/>
      <c r="H13" s="208"/>
      <c r="I13" s="207"/>
      <c r="J13" s="207"/>
      <c r="K13" s="207"/>
      <c r="L13" s="207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9"/>
      <c r="Y13" s="204"/>
      <c r="Z13" s="204"/>
      <c r="AA13" s="204"/>
      <c r="AB13" s="204"/>
      <c r="AC13" s="204"/>
      <c r="AD13" s="204"/>
      <c r="AE13" s="204"/>
      <c r="AF13" s="204"/>
    </row>
    <row r="14" spans="1:32" x14ac:dyDescent="0.3">
      <c r="A14" s="1">
        <f t="shared" si="0"/>
        <v>14</v>
      </c>
      <c r="C14" s="105">
        <v>210</v>
      </c>
      <c r="D14" s="106">
        <f t="shared" ref="D14:D19" si="1">C14*$D$13</f>
        <v>54600</v>
      </c>
      <c r="E14" s="210">
        <f>$G$77+$C14*$G$78+$D14*(($G$79*$E$71+$G$80*$E$72))</f>
        <v>8592.9475999999995</v>
      </c>
      <c r="F14" s="210">
        <f>+$D14*$G$81</f>
        <v>5690.9580000000005</v>
      </c>
      <c r="G14" s="210">
        <f>SUM(E14:F14)</f>
        <v>14283.9056</v>
      </c>
      <c r="H14" s="211"/>
      <c r="I14" s="210">
        <f>$I$77+$C14*$I$78+$D14*(($I$79*$E$71+$I$80*$E$72))</f>
        <v>9603.5935999999983</v>
      </c>
      <c r="J14" s="210">
        <f>+$D14*$I$81</f>
        <v>5690.9580000000005</v>
      </c>
      <c r="K14" s="210">
        <f>SUM(I14:J14)</f>
        <v>15294.551599999999</v>
      </c>
      <c r="L14" s="210"/>
      <c r="M14" s="210">
        <f>K14-G14</f>
        <v>1010.6459999999988</v>
      </c>
      <c r="N14" s="214">
        <f>M14/G14</f>
        <v>7.0754178044973831E-2</v>
      </c>
      <c r="O14" s="210"/>
      <c r="P14" s="210">
        <f>$J$77+$C14*$J$78+$D14*(($J$79*$E$71+$J$80*$E$72))</f>
        <v>9764.6635999999999</v>
      </c>
      <c r="Q14" s="210">
        <f>+$D14*$J$81</f>
        <v>5690.9580000000005</v>
      </c>
      <c r="R14" s="210">
        <f>SUM(P14:Q14)</f>
        <v>15455.6216</v>
      </c>
      <c r="S14" s="210"/>
      <c r="T14" s="210">
        <f>R14-K14</f>
        <v>161.07000000000153</v>
      </c>
      <c r="U14" s="214">
        <f>T14/K14</f>
        <v>1.0531201189317739E-2</v>
      </c>
      <c r="V14" s="210"/>
      <c r="W14" s="210">
        <f>$K$77+$C14*$K$78+$D14*(($K$79*$E$71+$K$80*$E$72))</f>
        <v>9753.743599999998</v>
      </c>
      <c r="X14" s="210">
        <f>+$D14*$K$81</f>
        <v>5690.9580000000005</v>
      </c>
      <c r="Y14" s="210">
        <f>SUM(W14:X14)</f>
        <v>15444.701599999999</v>
      </c>
      <c r="Z14" s="210"/>
      <c r="AA14" s="210">
        <f>Y14-R14</f>
        <v>-10.920000000001892</v>
      </c>
      <c r="AB14" s="214">
        <f>AA14/R14</f>
        <v>-7.0653903690304448E-4</v>
      </c>
      <c r="AC14" s="212"/>
      <c r="AD14" s="212"/>
      <c r="AE14" s="212"/>
      <c r="AF14" s="212"/>
    </row>
    <row r="15" spans="1:32" x14ac:dyDescent="0.3">
      <c r="A15" s="1">
        <f t="shared" si="0"/>
        <v>15</v>
      </c>
      <c r="C15" s="105">
        <v>1500</v>
      </c>
      <c r="D15" s="106">
        <f t="shared" si="1"/>
        <v>390000</v>
      </c>
      <c r="E15" s="210">
        <f t="shared" ref="E15:E35" si="2">$G$77+$C15*$G$78+$D15*(($G$79*$E$71+$G$80*$E$72))</f>
        <v>38035.339999999997</v>
      </c>
      <c r="F15" s="210">
        <f t="shared" ref="F15:F35" si="3">+$D15*$G$81</f>
        <v>40649.700000000004</v>
      </c>
      <c r="G15" s="210">
        <f t="shared" ref="G15:G19" si="4">SUM(E15:F15)</f>
        <v>78685.040000000008</v>
      </c>
      <c r="H15" s="211"/>
      <c r="I15" s="210">
        <f t="shared" ref="I15:I35" si="5">$I$77+$C15*$I$78+$D15*(($I$79*$E$71+$I$80*$E$72))</f>
        <v>45254.239999999998</v>
      </c>
      <c r="J15" s="210">
        <f t="shared" ref="J15:J35" si="6">+$D15*$I$81</f>
        <v>40649.700000000004</v>
      </c>
      <c r="K15" s="210">
        <f t="shared" ref="K15:K19" si="7">SUM(I15:J15)</f>
        <v>85903.94</v>
      </c>
      <c r="L15" s="210"/>
      <c r="M15" s="210">
        <f t="shared" ref="M15:M18" si="8">K15-G15</f>
        <v>7218.8999999999942</v>
      </c>
      <c r="N15" s="214">
        <f t="shared" ref="N15:N18" si="9">M15/G15</f>
        <v>9.174425024121477E-2</v>
      </c>
      <c r="O15" s="210"/>
      <c r="P15" s="210">
        <f t="shared" ref="P15:P35" si="10">$J$77+$C15*$J$78+$D15*(($J$79*$E$71+$J$80*$E$72))</f>
        <v>46404.74</v>
      </c>
      <c r="Q15" s="210">
        <f t="shared" ref="Q15:Q35" si="11">+$D15*$J$81</f>
        <v>40649.700000000004</v>
      </c>
      <c r="R15" s="210">
        <f t="shared" ref="R15:R19" si="12">SUM(P15:Q15)</f>
        <v>87054.44</v>
      </c>
      <c r="S15" s="210"/>
      <c r="T15" s="210">
        <f t="shared" ref="T15:T35" si="13">R15-K15</f>
        <v>1150.5</v>
      </c>
      <c r="U15" s="214">
        <f t="shared" ref="U15:U35" si="14">T15/K15</f>
        <v>1.3392866497159501E-2</v>
      </c>
      <c r="V15" s="210"/>
      <c r="W15" s="210">
        <f t="shared" ref="W15:W35" si="15">$K$77+$C15*$K$78+$D15*(($K$79*$E$71+$K$80*$E$72))</f>
        <v>46326.74</v>
      </c>
      <c r="X15" s="210">
        <f t="shared" ref="X15:X35" si="16">+$D15*$K$81</f>
        <v>40649.700000000004</v>
      </c>
      <c r="Y15" s="210">
        <f t="shared" ref="Y15:Y19" si="17">SUM(W15:X15)</f>
        <v>86976.44</v>
      </c>
      <c r="Z15" s="210"/>
      <c r="AA15" s="210">
        <f t="shared" ref="AA15:AA35" si="18">Y15-R15</f>
        <v>-78</v>
      </c>
      <c r="AB15" s="214">
        <f t="shared" ref="AB15:AB35" si="19">AA15/R15</f>
        <v>-8.9599106030663106E-4</v>
      </c>
      <c r="AC15" s="212"/>
      <c r="AD15" s="212"/>
      <c r="AE15" s="212"/>
      <c r="AF15" s="212"/>
    </row>
    <row r="16" spans="1:32" x14ac:dyDescent="0.3">
      <c r="A16" s="1">
        <f t="shared" si="0"/>
        <v>16</v>
      </c>
      <c r="C16" s="105">
        <v>2800</v>
      </c>
      <c r="D16" s="106">
        <f t="shared" si="1"/>
        <v>728000</v>
      </c>
      <c r="E16" s="210">
        <f t="shared" si="2"/>
        <v>67705.967999999993</v>
      </c>
      <c r="F16" s="210">
        <f>+$D16*$G$81</f>
        <v>75879.44</v>
      </c>
      <c r="G16" s="210">
        <f t="shared" si="4"/>
        <v>143585.408</v>
      </c>
      <c r="H16" s="211"/>
      <c r="I16" s="210">
        <f t="shared" si="5"/>
        <v>81181.247999999992</v>
      </c>
      <c r="J16" s="210">
        <f t="shared" si="6"/>
        <v>75879.44</v>
      </c>
      <c r="K16" s="210">
        <f t="shared" si="7"/>
        <v>157060.68799999999</v>
      </c>
      <c r="L16" s="210"/>
      <c r="M16" s="210">
        <f t="shared" si="8"/>
        <v>13475.279999999999</v>
      </c>
      <c r="N16" s="214">
        <f t="shared" si="9"/>
        <v>9.3848533689440086E-2</v>
      </c>
      <c r="O16" s="210"/>
      <c r="P16" s="210">
        <f>$J$77+$C16*$J$78+$D16*(($J$79*$E$71+$J$80*$E$72))</f>
        <v>83328.847999999998</v>
      </c>
      <c r="Q16" s="210">
        <f t="shared" si="11"/>
        <v>75879.44</v>
      </c>
      <c r="R16" s="210">
        <f t="shared" si="12"/>
        <v>159208.288</v>
      </c>
      <c r="S16" s="210"/>
      <c r="T16" s="210">
        <f t="shared" si="13"/>
        <v>2147.6000000000058</v>
      </c>
      <c r="U16" s="214">
        <f t="shared" si="14"/>
        <v>1.3673695355262966E-2</v>
      </c>
      <c r="V16" s="210"/>
      <c r="W16" s="210">
        <f t="shared" si="15"/>
        <v>83183.247999999992</v>
      </c>
      <c r="X16" s="210">
        <f t="shared" si="16"/>
        <v>75879.44</v>
      </c>
      <c r="Y16" s="210">
        <f t="shared" si="17"/>
        <v>159062.68799999999</v>
      </c>
      <c r="Z16" s="210"/>
      <c r="AA16" s="210">
        <f t="shared" si="18"/>
        <v>-145.60000000000582</v>
      </c>
      <c r="AB16" s="214">
        <f t="shared" si="19"/>
        <v>-9.1452525386119228E-4</v>
      </c>
      <c r="AC16" s="212"/>
      <c r="AD16" s="212"/>
      <c r="AE16" s="212"/>
      <c r="AF16" s="212"/>
    </row>
    <row r="17" spans="1:32" x14ac:dyDescent="0.3">
      <c r="A17" s="1">
        <f t="shared" si="0"/>
        <v>17</v>
      </c>
      <c r="C17" s="105">
        <v>4200</v>
      </c>
      <c r="D17" s="106">
        <f t="shared" si="1"/>
        <v>1092000</v>
      </c>
      <c r="E17" s="210">
        <f>$G$77+$C17*$G$78+$D17*(($G$79*$E$71+$G$80*$E$72))</f>
        <v>99658.95199999999</v>
      </c>
      <c r="F17" s="210">
        <f t="shared" si="3"/>
        <v>113819.16</v>
      </c>
      <c r="G17" s="210">
        <f t="shared" si="4"/>
        <v>213478.11199999999</v>
      </c>
      <c r="H17" s="211"/>
      <c r="I17" s="210">
        <f>$I$77+$C17*$I$78+$D17*(($I$79*$E$71+$I$80*$E$72))</f>
        <v>119871.87199999999</v>
      </c>
      <c r="J17" s="210">
        <f>+$D17*$I$81</f>
        <v>113819.16</v>
      </c>
      <c r="K17" s="210">
        <f t="shared" si="7"/>
        <v>233691.03200000001</v>
      </c>
      <c r="L17" s="210"/>
      <c r="M17" s="210">
        <f t="shared" si="8"/>
        <v>20212.920000000013</v>
      </c>
      <c r="N17" s="214">
        <f t="shared" si="9"/>
        <v>9.4683805335509116E-2</v>
      </c>
      <c r="O17" s="210"/>
      <c r="P17" s="210">
        <f t="shared" si="10"/>
        <v>123093.27199999998</v>
      </c>
      <c r="Q17" s="210">
        <f>+$D17*$J$81</f>
        <v>113819.16</v>
      </c>
      <c r="R17" s="210">
        <f t="shared" si="12"/>
        <v>236912.43199999997</v>
      </c>
      <c r="S17" s="210"/>
      <c r="T17" s="210">
        <f t="shared" si="13"/>
        <v>3221.3999999999651</v>
      </c>
      <c r="U17" s="214">
        <f t="shared" si="14"/>
        <v>1.378486787631613E-2</v>
      </c>
      <c r="V17" s="210"/>
      <c r="W17" s="210">
        <f>$K$77+$C17*$K$78+$D17*(($K$79*$E$71+$K$80*$E$72))</f>
        <v>122874.87199999997</v>
      </c>
      <c r="X17" s="210">
        <f>+$D17*$K$81</f>
        <v>113819.16</v>
      </c>
      <c r="Y17" s="210">
        <f t="shared" si="17"/>
        <v>236694.03199999998</v>
      </c>
      <c r="Z17" s="210"/>
      <c r="AA17" s="210">
        <f t="shared" si="18"/>
        <v>-218.39999999999418</v>
      </c>
      <c r="AB17" s="214">
        <f t="shared" si="19"/>
        <v>-9.218596008503015E-4</v>
      </c>
      <c r="AC17" s="212"/>
      <c r="AD17" s="212"/>
      <c r="AE17" s="212"/>
      <c r="AF17" s="212"/>
    </row>
    <row r="18" spans="1:32" x14ac:dyDescent="0.3">
      <c r="A18" s="1">
        <f t="shared" si="0"/>
        <v>18</v>
      </c>
      <c r="C18" s="105">
        <v>9400</v>
      </c>
      <c r="D18" s="106">
        <f t="shared" si="1"/>
        <v>2444000</v>
      </c>
      <c r="E18" s="210">
        <f t="shared" si="2"/>
        <v>218341.46399999998</v>
      </c>
      <c r="F18" s="210">
        <f t="shared" si="3"/>
        <v>254738.12</v>
      </c>
      <c r="G18" s="210">
        <f t="shared" si="4"/>
        <v>473079.58399999997</v>
      </c>
      <c r="H18" s="211"/>
      <c r="I18" s="210">
        <f t="shared" si="5"/>
        <v>263579.90399999998</v>
      </c>
      <c r="J18" s="210">
        <f t="shared" si="6"/>
        <v>254738.12</v>
      </c>
      <c r="K18" s="210">
        <f t="shared" si="7"/>
        <v>518318.02399999998</v>
      </c>
      <c r="L18" s="210"/>
      <c r="M18" s="210">
        <f t="shared" si="8"/>
        <v>45238.44</v>
      </c>
      <c r="N18" s="214">
        <f t="shared" si="9"/>
        <v>9.5625432865857951E-2</v>
      </c>
      <c r="O18" s="210"/>
      <c r="P18" s="210">
        <f t="shared" si="10"/>
        <v>270789.70399999997</v>
      </c>
      <c r="Q18" s="210">
        <f t="shared" si="11"/>
        <v>254738.12</v>
      </c>
      <c r="R18" s="210">
        <f t="shared" si="12"/>
        <v>525527.82400000002</v>
      </c>
      <c r="S18" s="210"/>
      <c r="T18" s="210">
        <f t="shared" si="13"/>
        <v>7209.8000000000466</v>
      </c>
      <c r="U18" s="214">
        <f t="shared" si="14"/>
        <v>1.3909992834823831E-2</v>
      </c>
      <c r="V18" s="210"/>
      <c r="W18" s="210">
        <f t="shared" si="15"/>
        <v>270300.90399999998</v>
      </c>
      <c r="X18" s="210">
        <f t="shared" si="16"/>
        <v>254738.12</v>
      </c>
      <c r="Y18" s="210">
        <f t="shared" si="17"/>
        <v>525039.02399999998</v>
      </c>
      <c r="Z18" s="210"/>
      <c r="AA18" s="210">
        <f t="shared" si="18"/>
        <v>-488.80000000004657</v>
      </c>
      <c r="AB18" s="214">
        <f t="shared" si="19"/>
        <v>-9.3011250342483586E-4</v>
      </c>
      <c r="AC18" s="212"/>
      <c r="AD18" s="212"/>
      <c r="AE18" s="212"/>
      <c r="AF18" s="212"/>
    </row>
    <row r="19" spans="1:32" x14ac:dyDescent="0.3">
      <c r="A19" s="1">
        <f t="shared" si="0"/>
        <v>19</v>
      </c>
      <c r="B19" s="201" t="s">
        <v>52</v>
      </c>
      <c r="C19" s="105">
        <v>3600</v>
      </c>
      <c r="D19" s="106">
        <f t="shared" si="1"/>
        <v>936000</v>
      </c>
      <c r="E19" s="210">
        <f t="shared" si="2"/>
        <v>85964.815999999992</v>
      </c>
      <c r="F19" s="210">
        <f t="shared" si="3"/>
        <v>97559.28</v>
      </c>
      <c r="G19" s="210">
        <f t="shared" si="4"/>
        <v>183524.09599999999</v>
      </c>
      <c r="H19" s="211"/>
      <c r="I19" s="210">
        <f t="shared" si="5"/>
        <v>103290.17599999998</v>
      </c>
      <c r="J19" s="210">
        <f t="shared" si="6"/>
        <v>97559.28</v>
      </c>
      <c r="K19" s="210">
        <f t="shared" si="7"/>
        <v>200849.45599999998</v>
      </c>
      <c r="L19" s="210"/>
      <c r="M19" s="210">
        <f>K19-G19</f>
        <v>17325.359999999986</v>
      </c>
      <c r="N19" s="214">
        <f>M19/G19</f>
        <v>9.4403734319443197E-2</v>
      </c>
      <c r="O19" s="210"/>
      <c r="P19" s="210">
        <f t="shared" si="10"/>
        <v>106051.37599999999</v>
      </c>
      <c r="Q19" s="210">
        <f t="shared" si="11"/>
        <v>97559.28</v>
      </c>
      <c r="R19" s="210">
        <f t="shared" si="12"/>
        <v>203610.65599999999</v>
      </c>
      <c r="S19" s="210"/>
      <c r="T19" s="210">
        <f t="shared" si="13"/>
        <v>2761.2000000000116</v>
      </c>
      <c r="U19" s="214">
        <f t="shared" si="14"/>
        <v>1.3747610050783567E-2</v>
      </c>
      <c r="V19" s="210"/>
      <c r="W19" s="210">
        <f t="shared" si="15"/>
        <v>105864.17599999998</v>
      </c>
      <c r="X19" s="210">
        <f t="shared" si="16"/>
        <v>97559.28</v>
      </c>
      <c r="Y19" s="210">
        <f t="shared" si="17"/>
        <v>203423.45599999998</v>
      </c>
      <c r="Z19" s="210"/>
      <c r="AA19" s="210">
        <f t="shared" si="18"/>
        <v>-187.20000000001164</v>
      </c>
      <c r="AB19" s="214">
        <f t="shared" si="19"/>
        <v>-9.1940178219361785E-4</v>
      </c>
      <c r="AC19" s="212"/>
      <c r="AD19" s="212"/>
      <c r="AE19" s="212"/>
      <c r="AF19" s="212"/>
    </row>
    <row r="20" spans="1:32" x14ac:dyDescent="0.3">
      <c r="A20" s="1">
        <f t="shared" si="0"/>
        <v>20</v>
      </c>
      <c r="C20" s="213"/>
      <c r="D20" s="213"/>
      <c r="E20" s="210"/>
      <c r="F20" s="210"/>
      <c r="G20" s="210"/>
      <c r="H20" s="211"/>
      <c r="I20" s="210"/>
      <c r="J20" s="210"/>
      <c r="K20" s="210"/>
      <c r="L20" s="210"/>
      <c r="M20" s="210"/>
      <c r="N20" s="214"/>
      <c r="O20" s="210"/>
      <c r="P20" s="210"/>
      <c r="Q20" s="210"/>
      <c r="R20" s="210"/>
      <c r="S20" s="210"/>
      <c r="T20" s="210"/>
      <c r="U20" s="214"/>
      <c r="V20" s="210"/>
      <c r="W20" s="210"/>
      <c r="X20" s="210"/>
      <c r="Y20" s="210"/>
      <c r="Z20" s="210"/>
      <c r="AA20" s="210"/>
      <c r="AB20" s="214"/>
    </row>
    <row r="21" spans="1:32" x14ac:dyDescent="0.3">
      <c r="A21" s="1">
        <f t="shared" si="0"/>
        <v>21</v>
      </c>
      <c r="C21" s="206" t="s">
        <v>126</v>
      </c>
      <c r="D21" s="104">
        <v>485</v>
      </c>
      <c r="E21" s="210"/>
      <c r="F21" s="210"/>
      <c r="G21" s="210"/>
      <c r="H21" s="211"/>
      <c r="I21" s="210"/>
      <c r="J21" s="210"/>
      <c r="K21" s="210"/>
      <c r="L21" s="210"/>
      <c r="M21" s="210"/>
      <c r="N21" s="214"/>
      <c r="O21" s="210"/>
      <c r="P21" s="210"/>
      <c r="Q21" s="210"/>
      <c r="R21" s="210"/>
      <c r="S21" s="210"/>
      <c r="T21" s="210"/>
      <c r="U21" s="214"/>
      <c r="V21" s="210"/>
      <c r="W21" s="210"/>
      <c r="X21" s="210"/>
      <c r="Y21" s="210"/>
      <c r="Z21" s="210"/>
      <c r="AA21" s="210"/>
      <c r="AB21" s="214"/>
    </row>
    <row r="22" spans="1:32" x14ac:dyDescent="0.3">
      <c r="A22" s="1">
        <f t="shared" si="0"/>
        <v>22</v>
      </c>
      <c r="C22" s="105">
        <v>1100</v>
      </c>
      <c r="D22" s="106">
        <f t="shared" ref="D22:D27" si="20">C22*$D$21</f>
        <v>533500</v>
      </c>
      <c r="E22" s="210">
        <f t="shared" si="2"/>
        <v>31308.150999999998</v>
      </c>
      <c r="F22" s="210">
        <f t="shared" si="3"/>
        <v>55606.705000000002</v>
      </c>
      <c r="G22" s="210">
        <f>SUM(E22:F22)</f>
        <v>86914.856</v>
      </c>
      <c r="H22" s="211"/>
      <c r="I22" s="210">
        <f t="shared" si="5"/>
        <v>41183.235999999997</v>
      </c>
      <c r="J22" s="210">
        <f t="shared" si="6"/>
        <v>55606.705000000002</v>
      </c>
      <c r="K22" s="210">
        <f>SUM(I22:J22)</f>
        <v>96789.940999999992</v>
      </c>
      <c r="L22" s="210"/>
      <c r="M22" s="210">
        <f>K22-G22</f>
        <v>9875.0849999999919</v>
      </c>
      <c r="N22" s="214">
        <f>M22/G22</f>
        <v>0.11361791820721641</v>
      </c>
      <c r="O22" s="210"/>
      <c r="P22" s="210">
        <f t="shared" si="10"/>
        <v>42757.060999999994</v>
      </c>
      <c r="Q22" s="210">
        <f t="shared" si="11"/>
        <v>55606.705000000002</v>
      </c>
      <c r="R22" s="210">
        <f>SUM(P22:Q22)</f>
        <v>98363.766000000003</v>
      </c>
      <c r="S22" s="210"/>
      <c r="T22" s="210">
        <f t="shared" si="13"/>
        <v>1573.8250000000116</v>
      </c>
      <c r="U22" s="214">
        <f t="shared" si="14"/>
        <v>1.6260212411949002E-2</v>
      </c>
      <c r="V22" s="210"/>
      <c r="W22" s="210">
        <f t="shared" si="15"/>
        <v>42650.36099999999</v>
      </c>
      <c r="X22" s="210">
        <f t="shared" si="16"/>
        <v>55606.705000000002</v>
      </c>
      <c r="Y22" s="210">
        <f>SUM(W22:X22)</f>
        <v>98257.065999999992</v>
      </c>
      <c r="Z22" s="210"/>
      <c r="AA22" s="210">
        <f t="shared" si="18"/>
        <v>-106.70000000001164</v>
      </c>
      <c r="AB22" s="214">
        <f t="shared" si="19"/>
        <v>-1.0847490324842955E-3</v>
      </c>
      <c r="AC22" s="212"/>
      <c r="AD22" s="212"/>
      <c r="AE22" s="212"/>
      <c r="AF22" s="212"/>
    </row>
    <row r="23" spans="1:32" x14ac:dyDescent="0.3">
      <c r="A23" s="1">
        <f t="shared" si="0"/>
        <v>23</v>
      </c>
      <c r="C23" s="105">
        <v>2400</v>
      </c>
      <c r="D23" s="106">
        <f t="shared" si="20"/>
        <v>1164000</v>
      </c>
      <c r="E23" s="210">
        <f t="shared" si="2"/>
        <v>63817.783999999992</v>
      </c>
      <c r="F23" s="210">
        <f t="shared" si="3"/>
        <v>121323.72</v>
      </c>
      <c r="G23" s="210">
        <f t="shared" ref="G23:G27" si="21">SUM(E23:F23)</f>
        <v>185141.50399999999</v>
      </c>
      <c r="H23" s="211"/>
      <c r="I23" s="210">
        <f t="shared" si="5"/>
        <v>85363.423999999999</v>
      </c>
      <c r="J23" s="210">
        <f t="shared" si="6"/>
        <v>121323.72</v>
      </c>
      <c r="K23" s="210">
        <f t="shared" ref="K23:K27" si="22">SUM(I23:J23)</f>
        <v>206687.144</v>
      </c>
      <c r="L23" s="210"/>
      <c r="M23" s="210">
        <f t="shared" ref="M23:M26" si="23">K23-G23</f>
        <v>21545.640000000014</v>
      </c>
      <c r="N23" s="214">
        <f t="shared" ref="N23:N26" si="24">M23/G23</f>
        <v>0.11637390609077053</v>
      </c>
      <c r="O23" s="210"/>
      <c r="P23" s="210">
        <f t="shared" si="10"/>
        <v>88797.223999999987</v>
      </c>
      <c r="Q23" s="210">
        <f t="shared" si="11"/>
        <v>121323.72</v>
      </c>
      <c r="R23" s="210">
        <f t="shared" ref="R23:R27" si="25">SUM(P23:Q23)</f>
        <v>210120.94399999999</v>
      </c>
      <c r="S23" s="210"/>
      <c r="T23" s="210">
        <f t="shared" si="13"/>
        <v>3433.7999999999884</v>
      </c>
      <c r="U23" s="214">
        <f t="shared" si="14"/>
        <v>1.6613515158930198E-2</v>
      </c>
      <c r="V23" s="210"/>
      <c r="W23" s="210">
        <f t="shared" si="15"/>
        <v>88564.423999999999</v>
      </c>
      <c r="X23" s="210">
        <f t="shared" si="16"/>
        <v>121323.72</v>
      </c>
      <c r="Y23" s="210">
        <f t="shared" ref="Y23:Y27" si="26">SUM(W23:X23)</f>
        <v>209888.144</v>
      </c>
      <c r="Z23" s="210"/>
      <c r="AA23" s="210">
        <f t="shared" si="18"/>
        <v>-232.79999999998836</v>
      </c>
      <c r="AB23" s="214">
        <f t="shared" si="19"/>
        <v>-1.1079333433795557E-3</v>
      </c>
      <c r="AC23" s="212"/>
      <c r="AD23" s="212"/>
      <c r="AE23" s="212"/>
      <c r="AF23" s="212"/>
    </row>
    <row r="24" spans="1:32" x14ac:dyDescent="0.3">
      <c r="A24" s="1">
        <f t="shared" si="0"/>
        <v>24</v>
      </c>
      <c r="C24" s="105">
        <v>3000</v>
      </c>
      <c r="D24" s="106">
        <f t="shared" si="20"/>
        <v>1455000</v>
      </c>
      <c r="E24" s="210">
        <f>$G$77+$C24*$G$78+$D24*(($G$79*$E$71+$G$80*$E$72))</f>
        <v>78822.23</v>
      </c>
      <c r="F24" s="210">
        <f t="shared" si="3"/>
        <v>151654.65</v>
      </c>
      <c r="G24" s="210">
        <f t="shared" si="21"/>
        <v>230476.88</v>
      </c>
      <c r="H24" s="211"/>
      <c r="I24" s="210">
        <f t="shared" si="5"/>
        <v>105754.28</v>
      </c>
      <c r="J24" s="210">
        <f t="shared" si="6"/>
        <v>151654.65</v>
      </c>
      <c r="K24" s="210">
        <f t="shared" si="22"/>
        <v>257408.93</v>
      </c>
      <c r="L24" s="210"/>
      <c r="M24" s="210">
        <f t="shared" si="23"/>
        <v>26932.049999999988</v>
      </c>
      <c r="N24" s="214">
        <f t="shared" si="24"/>
        <v>0.11685358635538622</v>
      </c>
      <c r="O24" s="210"/>
      <c r="P24" s="210">
        <f t="shared" si="10"/>
        <v>110046.53</v>
      </c>
      <c r="Q24" s="210">
        <f t="shared" si="11"/>
        <v>151654.65</v>
      </c>
      <c r="R24" s="210">
        <f t="shared" si="25"/>
        <v>261701.18</v>
      </c>
      <c r="S24" s="210"/>
      <c r="T24" s="210">
        <f t="shared" si="13"/>
        <v>4292.25</v>
      </c>
      <c r="U24" s="214">
        <f t="shared" si="14"/>
        <v>1.6674829424138473E-2</v>
      </c>
      <c r="V24" s="210"/>
      <c r="W24" s="210">
        <f t="shared" si="15"/>
        <v>109755.53</v>
      </c>
      <c r="X24" s="210">
        <f t="shared" si="16"/>
        <v>151654.65</v>
      </c>
      <c r="Y24" s="210">
        <f t="shared" si="26"/>
        <v>261410.18</v>
      </c>
      <c r="Z24" s="210"/>
      <c r="AA24" s="210">
        <f t="shared" si="18"/>
        <v>-291</v>
      </c>
      <c r="AB24" s="214">
        <f t="shared" si="19"/>
        <v>-1.1119552460558261E-3</v>
      </c>
      <c r="AC24" s="212"/>
      <c r="AD24" s="212"/>
      <c r="AE24" s="212"/>
      <c r="AF24" s="212"/>
    </row>
    <row r="25" spans="1:32" x14ac:dyDescent="0.3">
      <c r="A25" s="1">
        <f t="shared" si="0"/>
        <v>25</v>
      </c>
      <c r="C25" s="105">
        <v>4300</v>
      </c>
      <c r="D25" s="106">
        <f t="shared" si="20"/>
        <v>2085500</v>
      </c>
      <c r="E25" s="210">
        <f t="shared" si="2"/>
        <v>111331.86299999998</v>
      </c>
      <c r="F25" s="210">
        <f>+$D25*$G$81</f>
        <v>217371.66500000001</v>
      </c>
      <c r="G25" s="210">
        <f t="shared" si="21"/>
        <v>328703.52799999999</v>
      </c>
      <c r="H25" s="211"/>
      <c r="I25" s="210">
        <f>$I$77+$C25*$I$78+$D25*(($I$79*$E$71+$I$80*$E$72))</f>
        <v>149934.46799999999</v>
      </c>
      <c r="J25" s="210">
        <f>+$D25*$I$81</f>
        <v>217371.66500000001</v>
      </c>
      <c r="K25" s="210">
        <f t="shared" si="22"/>
        <v>367306.13300000003</v>
      </c>
      <c r="L25" s="210"/>
      <c r="M25" s="210">
        <f t="shared" si="23"/>
        <v>38602.60500000004</v>
      </c>
      <c r="N25" s="214">
        <f t="shared" si="24"/>
        <v>0.11743897376118227</v>
      </c>
      <c r="O25" s="210"/>
      <c r="P25" s="210">
        <f>$J$77+$C25*$J$78+$D25*(($J$79*$E$71+$J$80*$E$72))</f>
        <v>156086.69299999997</v>
      </c>
      <c r="Q25" s="210">
        <f>+$D25*$J$81</f>
        <v>217371.66500000001</v>
      </c>
      <c r="R25" s="210">
        <f t="shared" si="25"/>
        <v>373458.35800000001</v>
      </c>
      <c r="S25" s="210"/>
      <c r="T25" s="210">
        <f t="shared" si="13"/>
        <v>6152.2249999999767</v>
      </c>
      <c r="U25" s="214">
        <f t="shared" si="14"/>
        <v>1.6749584194936315E-2</v>
      </c>
      <c r="V25" s="210"/>
      <c r="W25" s="210">
        <f>$K$77+$C25*$K$78+$D25*(($K$79*$E$71+$K$80*$E$72))</f>
        <v>155669.59299999999</v>
      </c>
      <c r="X25" s="210">
        <f>+$D25*$K$81</f>
        <v>217371.66500000001</v>
      </c>
      <c r="Y25" s="210">
        <f t="shared" si="26"/>
        <v>373041.25800000003</v>
      </c>
      <c r="Z25" s="210"/>
      <c r="AA25" s="210">
        <f t="shared" si="18"/>
        <v>-417.09999999997672</v>
      </c>
      <c r="AB25" s="214">
        <f t="shared" si="19"/>
        <v>-1.116858121033073E-3</v>
      </c>
      <c r="AC25" s="212"/>
      <c r="AD25" s="212"/>
      <c r="AE25" s="212"/>
      <c r="AF25" s="212"/>
    </row>
    <row r="26" spans="1:32" x14ac:dyDescent="0.3">
      <c r="A26" s="1">
        <f t="shared" si="0"/>
        <v>26</v>
      </c>
      <c r="C26" s="105">
        <v>9100</v>
      </c>
      <c r="D26" s="106">
        <f t="shared" si="20"/>
        <v>4413500</v>
      </c>
      <c r="E26" s="210">
        <f t="shared" si="2"/>
        <v>231367.43099999998</v>
      </c>
      <c r="F26" s="210">
        <f t="shared" si="3"/>
        <v>460019.10500000004</v>
      </c>
      <c r="G26" s="210">
        <f t="shared" si="21"/>
        <v>691386.53600000008</v>
      </c>
      <c r="H26" s="211"/>
      <c r="I26" s="210">
        <f t="shared" si="5"/>
        <v>313061.31599999999</v>
      </c>
      <c r="J26" s="210">
        <f t="shared" si="6"/>
        <v>460019.10500000004</v>
      </c>
      <c r="K26" s="210">
        <f t="shared" si="22"/>
        <v>773080.42100000009</v>
      </c>
      <c r="L26" s="210"/>
      <c r="M26" s="210">
        <f t="shared" si="23"/>
        <v>81693.885000000009</v>
      </c>
      <c r="N26" s="214">
        <f t="shared" si="24"/>
        <v>0.11815949652800296</v>
      </c>
      <c r="O26" s="210"/>
      <c r="P26" s="210">
        <f t="shared" si="10"/>
        <v>326081.14099999995</v>
      </c>
      <c r="Q26" s="210">
        <f t="shared" si="11"/>
        <v>460019.10500000004</v>
      </c>
      <c r="R26" s="210">
        <f t="shared" si="25"/>
        <v>786100.24600000004</v>
      </c>
      <c r="S26" s="210"/>
      <c r="T26" s="210">
        <f t="shared" si="13"/>
        <v>13019.824999999953</v>
      </c>
      <c r="U26" s="214">
        <f t="shared" si="14"/>
        <v>1.6841488474327759E-2</v>
      </c>
      <c r="V26" s="210"/>
      <c r="W26" s="210">
        <f t="shared" si="15"/>
        <v>325198.44099999999</v>
      </c>
      <c r="X26" s="210">
        <f t="shared" si="16"/>
        <v>460019.10500000004</v>
      </c>
      <c r="Y26" s="210">
        <f t="shared" si="26"/>
        <v>785217.54600000009</v>
      </c>
      <c r="Z26" s="210"/>
      <c r="AA26" s="210">
        <f t="shared" si="18"/>
        <v>-882.69999999995343</v>
      </c>
      <c r="AB26" s="214">
        <f t="shared" si="19"/>
        <v>-1.1228847777258594E-3</v>
      </c>
      <c r="AC26" s="212"/>
      <c r="AD26" s="212"/>
      <c r="AE26" s="212"/>
      <c r="AF26" s="212"/>
    </row>
    <row r="27" spans="1:32" x14ac:dyDescent="0.3">
      <c r="A27" s="1">
        <f t="shared" si="0"/>
        <v>27</v>
      </c>
      <c r="B27" s="201" t="s">
        <v>52</v>
      </c>
      <c r="C27" s="215">
        <v>4000</v>
      </c>
      <c r="D27" s="215">
        <f t="shared" si="20"/>
        <v>1940000</v>
      </c>
      <c r="E27" s="210">
        <f t="shared" si="2"/>
        <v>103829.63999999998</v>
      </c>
      <c r="F27" s="210">
        <f t="shared" si="3"/>
        <v>202206.2</v>
      </c>
      <c r="G27" s="210">
        <f t="shared" si="21"/>
        <v>306035.83999999997</v>
      </c>
      <c r="H27" s="211"/>
      <c r="I27" s="210">
        <f t="shared" si="5"/>
        <v>139739.03999999998</v>
      </c>
      <c r="J27" s="210">
        <f t="shared" si="6"/>
        <v>202206.2</v>
      </c>
      <c r="K27" s="210">
        <f t="shared" si="22"/>
        <v>341945.24</v>
      </c>
      <c r="L27" s="210"/>
      <c r="M27" s="210">
        <f>K27-G27</f>
        <v>35909.400000000023</v>
      </c>
      <c r="N27" s="214">
        <f>M27/G27</f>
        <v>0.11733723736409443</v>
      </c>
      <c r="O27" s="210"/>
      <c r="P27" s="210">
        <f t="shared" si="10"/>
        <v>145462.03999999998</v>
      </c>
      <c r="Q27" s="210">
        <f t="shared" si="11"/>
        <v>202206.2</v>
      </c>
      <c r="R27" s="210">
        <f t="shared" si="25"/>
        <v>347668.24</v>
      </c>
      <c r="S27" s="210"/>
      <c r="T27" s="210">
        <f t="shared" si="13"/>
        <v>5723</v>
      </c>
      <c r="U27" s="214">
        <f t="shared" si="14"/>
        <v>1.6736597941822497E-2</v>
      </c>
      <c r="V27" s="210"/>
      <c r="W27" s="210">
        <f t="shared" si="15"/>
        <v>145074.03999999998</v>
      </c>
      <c r="X27" s="210">
        <f t="shared" si="16"/>
        <v>202206.2</v>
      </c>
      <c r="Y27" s="210">
        <f t="shared" si="26"/>
        <v>347280.24</v>
      </c>
      <c r="Z27" s="210"/>
      <c r="AA27" s="210">
        <f t="shared" si="18"/>
        <v>-388</v>
      </c>
      <c r="AB27" s="214">
        <f t="shared" si="19"/>
        <v>-1.1160064548892932E-3</v>
      </c>
      <c r="AC27" s="212"/>
      <c r="AD27" s="212"/>
      <c r="AE27" s="212"/>
      <c r="AF27" s="212"/>
    </row>
    <row r="28" spans="1:32" x14ac:dyDescent="0.3">
      <c r="A28" s="1">
        <f t="shared" si="0"/>
        <v>28</v>
      </c>
      <c r="C28" s="216"/>
      <c r="D28" s="216"/>
      <c r="E28" s="210"/>
      <c r="F28" s="210"/>
      <c r="G28" s="210"/>
      <c r="H28" s="211"/>
      <c r="I28" s="210"/>
      <c r="J28" s="210"/>
      <c r="K28" s="210"/>
      <c r="L28" s="210"/>
      <c r="M28" s="210"/>
      <c r="N28" s="214"/>
      <c r="O28" s="210"/>
      <c r="P28" s="210"/>
      <c r="Q28" s="210"/>
      <c r="R28" s="210"/>
      <c r="S28" s="210"/>
      <c r="T28" s="210"/>
      <c r="U28" s="214"/>
      <c r="V28" s="210"/>
      <c r="W28" s="210"/>
      <c r="X28" s="210"/>
      <c r="Y28" s="210"/>
      <c r="Z28" s="210"/>
      <c r="AA28" s="210"/>
      <c r="AB28" s="214"/>
    </row>
    <row r="29" spans="1:32" x14ac:dyDescent="0.3">
      <c r="A29" s="1">
        <f t="shared" si="0"/>
        <v>29</v>
      </c>
      <c r="C29" s="206" t="s">
        <v>126</v>
      </c>
      <c r="D29" s="104">
        <v>580</v>
      </c>
      <c r="E29" s="210"/>
      <c r="F29" s="210"/>
      <c r="G29" s="210"/>
      <c r="H29" s="211"/>
      <c r="I29" s="210"/>
      <c r="J29" s="210"/>
      <c r="K29" s="210"/>
      <c r="L29" s="210"/>
      <c r="M29" s="210"/>
      <c r="N29" s="214"/>
      <c r="O29" s="210"/>
      <c r="P29" s="210"/>
      <c r="Q29" s="210"/>
      <c r="R29" s="210"/>
      <c r="S29" s="210"/>
      <c r="T29" s="210"/>
      <c r="U29" s="214"/>
      <c r="V29" s="210"/>
      <c r="W29" s="210"/>
      <c r="X29" s="210"/>
      <c r="Y29" s="210"/>
      <c r="Z29" s="210"/>
      <c r="AA29" s="210"/>
      <c r="AB29" s="214"/>
    </row>
    <row r="30" spans="1:32" x14ac:dyDescent="0.3">
      <c r="A30" s="1">
        <f t="shared" si="0"/>
        <v>30</v>
      </c>
      <c r="C30" s="105">
        <v>1400</v>
      </c>
      <c r="D30" s="106">
        <f t="shared" ref="D30:D35" si="27">C30*$D$29</f>
        <v>812000</v>
      </c>
      <c r="E30" s="210">
        <f t="shared" si="2"/>
        <v>40101.271999999997</v>
      </c>
      <c r="F30" s="210">
        <f t="shared" si="3"/>
        <v>84634.760000000009</v>
      </c>
      <c r="G30" s="210">
        <f>SUM(E30:F30)</f>
        <v>124736.03200000001</v>
      </c>
      <c r="H30" s="211"/>
      <c r="I30" s="210">
        <f t="shared" si="5"/>
        <v>55131.391999999993</v>
      </c>
      <c r="J30" s="210">
        <f>+$D30*$I$81</f>
        <v>84634.760000000009</v>
      </c>
      <c r="K30" s="210">
        <f>SUM(I30:J30)</f>
        <v>139766.152</v>
      </c>
      <c r="L30" s="210"/>
      <c r="M30" s="210">
        <f>K30-G30</f>
        <v>15030.119999999995</v>
      </c>
      <c r="N30" s="214">
        <f>M30/G30</f>
        <v>0.1204954154706476</v>
      </c>
      <c r="O30" s="210"/>
      <c r="P30" s="210">
        <f t="shared" si="10"/>
        <v>57526.791999999994</v>
      </c>
      <c r="Q30" s="210">
        <f t="shared" si="11"/>
        <v>84634.760000000009</v>
      </c>
      <c r="R30" s="210">
        <f>SUM(P30:Q30)</f>
        <v>142161.552</v>
      </c>
      <c r="S30" s="210"/>
      <c r="T30" s="210">
        <f t="shared" si="13"/>
        <v>2395.3999999999942</v>
      </c>
      <c r="U30" s="214">
        <f t="shared" si="14"/>
        <v>1.7138627383831775E-2</v>
      </c>
      <c r="V30" s="210"/>
      <c r="W30" s="210">
        <f t="shared" si="15"/>
        <v>57364.391999999993</v>
      </c>
      <c r="X30" s="210">
        <f t="shared" si="16"/>
        <v>84634.760000000009</v>
      </c>
      <c r="Y30" s="210">
        <f>SUM(W30:X30)</f>
        <v>141999.152</v>
      </c>
      <c r="Z30" s="210"/>
      <c r="AA30" s="210">
        <f t="shared" si="18"/>
        <v>-162.39999999999418</v>
      </c>
      <c r="AB30" s="214">
        <f t="shared" si="19"/>
        <v>-1.1423623174850693E-3</v>
      </c>
      <c r="AC30" s="17"/>
      <c r="AD30" s="212"/>
      <c r="AE30" s="212"/>
      <c r="AF30" s="212"/>
    </row>
    <row r="31" spans="1:32" x14ac:dyDescent="0.3">
      <c r="A31" s="1">
        <f t="shared" si="0"/>
        <v>31</v>
      </c>
      <c r="C31" s="105">
        <v>2000</v>
      </c>
      <c r="D31" s="106">
        <f t="shared" si="27"/>
        <v>1160000</v>
      </c>
      <c r="E31" s="210">
        <f t="shared" si="2"/>
        <v>55658.959999999992</v>
      </c>
      <c r="F31" s="210">
        <f t="shared" si="3"/>
        <v>120906.8</v>
      </c>
      <c r="G31" s="210">
        <f t="shared" ref="G31:G35" si="28">SUM(E31:F31)</f>
        <v>176565.76000000001</v>
      </c>
      <c r="H31" s="211"/>
      <c r="I31" s="210">
        <f t="shared" si="5"/>
        <v>77130.559999999998</v>
      </c>
      <c r="J31" s="210">
        <f t="shared" si="6"/>
        <v>120906.8</v>
      </c>
      <c r="K31" s="210">
        <f t="shared" ref="K31:K35" si="29">SUM(I31:J31)</f>
        <v>198037.36</v>
      </c>
      <c r="L31" s="210"/>
      <c r="M31" s="210">
        <f t="shared" ref="M31:M34" si="30">K31-G31</f>
        <v>21471.599999999977</v>
      </c>
      <c r="N31" s="214">
        <f t="shared" ref="N31:N34" si="31">M31/G31</f>
        <v>0.12160681663307753</v>
      </c>
      <c r="O31" s="210"/>
      <c r="P31" s="210">
        <f t="shared" si="10"/>
        <v>80552.56</v>
      </c>
      <c r="Q31" s="210">
        <f t="shared" si="11"/>
        <v>120906.8</v>
      </c>
      <c r="R31" s="210">
        <f t="shared" ref="R31:R35" si="32">SUM(P31:Q31)</f>
        <v>201459.36</v>
      </c>
      <c r="S31" s="210"/>
      <c r="T31" s="210">
        <f t="shared" si="13"/>
        <v>3422</v>
      </c>
      <c r="U31" s="214">
        <f t="shared" si="14"/>
        <v>1.7279567855277411E-2</v>
      </c>
      <c r="V31" s="210"/>
      <c r="W31" s="210">
        <f t="shared" si="15"/>
        <v>80320.56</v>
      </c>
      <c r="X31" s="210">
        <f t="shared" si="16"/>
        <v>120906.8</v>
      </c>
      <c r="Y31" s="210">
        <f t="shared" ref="Y31:Y35" si="33">SUM(W31:X31)</f>
        <v>201227.36</v>
      </c>
      <c r="Z31" s="210"/>
      <c r="AA31" s="210">
        <f t="shared" si="18"/>
        <v>-232</v>
      </c>
      <c r="AB31" s="214">
        <f t="shared" si="19"/>
        <v>-1.1515970268147382E-3</v>
      </c>
      <c r="AC31" s="17"/>
      <c r="AD31" s="212"/>
      <c r="AE31" s="212"/>
      <c r="AF31" s="212"/>
    </row>
    <row r="32" spans="1:32" x14ac:dyDescent="0.3">
      <c r="A32" s="1">
        <f t="shared" si="0"/>
        <v>32</v>
      </c>
      <c r="C32" s="105">
        <v>2500</v>
      </c>
      <c r="D32" s="106">
        <f t="shared" si="27"/>
        <v>1450000</v>
      </c>
      <c r="E32" s="210">
        <f>$G$77+$C32*$G$78+$D32*(($G$79*$E$71+$G$80*$E$72))</f>
        <v>68623.7</v>
      </c>
      <c r="F32" s="210">
        <f t="shared" si="3"/>
        <v>151133.5</v>
      </c>
      <c r="G32" s="210">
        <f t="shared" si="28"/>
        <v>219757.2</v>
      </c>
      <c r="H32" s="211"/>
      <c r="I32" s="210">
        <f t="shared" si="5"/>
        <v>95463.199999999983</v>
      </c>
      <c r="J32" s="210">
        <f t="shared" si="6"/>
        <v>151133.5</v>
      </c>
      <c r="K32" s="210">
        <f t="shared" si="29"/>
        <v>246596.69999999998</v>
      </c>
      <c r="L32" s="210"/>
      <c r="M32" s="210">
        <f t="shared" si="30"/>
        <v>26839.499999999971</v>
      </c>
      <c r="N32" s="214">
        <f t="shared" si="31"/>
        <v>0.12213251715984719</v>
      </c>
      <c r="O32" s="210"/>
      <c r="P32" s="210">
        <f t="shared" si="10"/>
        <v>99740.699999999983</v>
      </c>
      <c r="Q32" s="210">
        <f t="shared" si="11"/>
        <v>151133.5</v>
      </c>
      <c r="R32" s="210">
        <f t="shared" si="32"/>
        <v>250874.19999999998</v>
      </c>
      <c r="S32" s="210"/>
      <c r="T32" s="210">
        <f t="shared" si="13"/>
        <v>4277.5</v>
      </c>
      <c r="U32" s="214">
        <f t="shared" si="14"/>
        <v>1.7346136424372265E-2</v>
      </c>
      <c r="V32" s="210"/>
      <c r="W32" s="210">
        <f>$K$77+$C32*$K$78+$D32*(($K$79*$E$71+$K$80*$E$72))</f>
        <v>99450.699999999983</v>
      </c>
      <c r="X32" s="210">
        <f>+$D32*$K$81</f>
        <v>151133.5</v>
      </c>
      <c r="Y32" s="210">
        <f t="shared" si="33"/>
        <v>250584.19999999998</v>
      </c>
      <c r="Z32" s="210"/>
      <c r="AA32" s="210">
        <f t="shared" si="18"/>
        <v>-290</v>
      </c>
      <c r="AB32" s="214">
        <f t="shared" si="19"/>
        <v>-1.1559578466020023E-3</v>
      </c>
      <c r="AC32" s="17"/>
      <c r="AD32" s="212"/>
      <c r="AE32" s="212"/>
      <c r="AF32" s="212"/>
    </row>
    <row r="33" spans="1:32" x14ac:dyDescent="0.3">
      <c r="A33" s="1">
        <f t="shared" si="0"/>
        <v>33</v>
      </c>
      <c r="C33" s="105">
        <v>2800</v>
      </c>
      <c r="D33" s="106">
        <f t="shared" si="27"/>
        <v>1624000</v>
      </c>
      <c r="E33" s="210">
        <f t="shared" si="2"/>
        <v>76402.543999999994</v>
      </c>
      <c r="F33" s="210">
        <f t="shared" si="3"/>
        <v>169269.52000000002</v>
      </c>
      <c r="G33" s="210">
        <f t="shared" si="28"/>
        <v>245672.06400000001</v>
      </c>
      <c r="H33" s="211"/>
      <c r="I33" s="210">
        <f>$I$77+$C33*$I$78+$D33*(($I$79*$E$71+$I$80*$E$72))</f>
        <v>106462.78399999999</v>
      </c>
      <c r="J33" s="210">
        <f t="shared" si="6"/>
        <v>169269.52000000002</v>
      </c>
      <c r="K33" s="210">
        <f t="shared" si="29"/>
        <v>275732.304</v>
      </c>
      <c r="L33" s="210"/>
      <c r="M33" s="210">
        <f t="shared" si="30"/>
        <v>30060.239999999991</v>
      </c>
      <c r="N33" s="214">
        <f t="shared" si="31"/>
        <v>0.12235921134280855</v>
      </c>
      <c r="O33" s="210"/>
      <c r="P33" s="210">
        <f>$J$77+$C33*$J$78+$D33*(($J$79*$E$71+$J$80*$E$72))</f>
        <v>111253.58399999999</v>
      </c>
      <c r="Q33" s="210">
        <f>+$D33*$J$81</f>
        <v>169269.52000000002</v>
      </c>
      <c r="R33" s="210">
        <f t="shared" si="32"/>
        <v>280523.10399999999</v>
      </c>
      <c r="S33" s="210"/>
      <c r="T33" s="210">
        <f t="shared" si="13"/>
        <v>4790.7999999999884</v>
      </c>
      <c r="U33" s="214">
        <f t="shared" si="14"/>
        <v>1.7374823082028097E-2</v>
      </c>
      <c r="V33" s="210"/>
      <c r="W33" s="210">
        <f t="shared" si="15"/>
        <v>110928.78399999999</v>
      </c>
      <c r="X33" s="210">
        <f t="shared" si="16"/>
        <v>169269.52000000002</v>
      </c>
      <c r="Y33" s="210">
        <f t="shared" si="33"/>
        <v>280198.304</v>
      </c>
      <c r="Z33" s="210"/>
      <c r="AA33" s="210">
        <f t="shared" si="18"/>
        <v>-324.79999999998836</v>
      </c>
      <c r="AB33" s="214">
        <f t="shared" si="19"/>
        <v>-1.1578368960297415E-3</v>
      </c>
      <c r="AC33" s="17"/>
      <c r="AD33" s="212"/>
      <c r="AE33" s="212"/>
      <c r="AF33" s="212"/>
    </row>
    <row r="34" spans="1:32" x14ac:dyDescent="0.3">
      <c r="A34" s="1">
        <f t="shared" si="0"/>
        <v>34</v>
      </c>
      <c r="C34" s="105">
        <v>5500</v>
      </c>
      <c r="D34" s="106">
        <f t="shared" si="27"/>
        <v>3190000</v>
      </c>
      <c r="E34" s="210">
        <f t="shared" si="2"/>
        <v>146412.13999999998</v>
      </c>
      <c r="F34" s="210">
        <f>+$D34*$G$81</f>
        <v>332493.7</v>
      </c>
      <c r="G34" s="210">
        <f t="shared" si="28"/>
        <v>478905.83999999997</v>
      </c>
      <c r="H34" s="211"/>
      <c r="I34" s="210">
        <f t="shared" si="5"/>
        <v>205459.03999999998</v>
      </c>
      <c r="J34" s="210">
        <f t="shared" si="6"/>
        <v>332493.7</v>
      </c>
      <c r="K34" s="210">
        <f t="shared" si="29"/>
        <v>537952.74</v>
      </c>
      <c r="L34" s="210"/>
      <c r="M34" s="210">
        <f t="shared" si="30"/>
        <v>59046.900000000023</v>
      </c>
      <c r="N34" s="214">
        <f t="shared" si="31"/>
        <v>0.12329542692567713</v>
      </c>
      <c r="O34" s="210"/>
      <c r="P34" s="210">
        <f t="shared" si="10"/>
        <v>214869.53999999998</v>
      </c>
      <c r="Q34" s="210">
        <f t="shared" si="11"/>
        <v>332493.7</v>
      </c>
      <c r="R34" s="210">
        <f t="shared" si="32"/>
        <v>547363.24</v>
      </c>
      <c r="S34" s="210"/>
      <c r="T34" s="210">
        <f t="shared" si="13"/>
        <v>9410.5</v>
      </c>
      <c r="U34" s="214">
        <f t="shared" si="14"/>
        <v>1.7493172355623657E-2</v>
      </c>
      <c r="V34" s="210"/>
      <c r="W34" s="210">
        <f t="shared" si="15"/>
        <v>214231.53999999998</v>
      </c>
      <c r="X34" s="210">
        <f t="shared" si="16"/>
        <v>332493.7</v>
      </c>
      <c r="Y34" s="210">
        <f t="shared" si="33"/>
        <v>546725.24</v>
      </c>
      <c r="Z34" s="210"/>
      <c r="AA34" s="210">
        <f t="shared" si="18"/>
        <v>-638</v>
      </c>
      <c r="AB34" s="214">
        <f t="shared" si="19"/>
        <v>-1.165587955815228E-3</v>
      </c>
      <c r="AC34" s="17"/>
      <c r="AD34" s="212"/>
      <c r="AE34" s="212"/>
      <c r="AF34" s="212"/>
    </row>
    <row r="35" spans="1:32" x14ac:dyDescent="0.3">
      <c r="A35" s="1">
        <f t="shared" si="0"/>
        <v>35</v>
      </c>
      <c r="B35" s="201" t="s">
        <v>52</v>
      </c>
      <c r="C35" s="215">
        <v>2844</v>
      </c>
      <c r="D35" s="215">
        <f t="shared" si="27"/>
        <v>1649520</v>
      </c>
      <c r="E35" s="210">
        <f t="shared" si="2"/>
        <v>77543.441119999989</v>
      </c>
      <c r="F35" s="210">
        <f t="shared" si="3"/>
        <v>171929.46960000001</v>
      </c>
      <c r="G35" s="210">
        <f t="shared" si="28"/>
        <v>249472.91071999999</v>
      </c>
      <c r="H35" s="211"/>
      <c r="I35" s="210">
        <f t="shared" si="5"/>
        <v>108076.05631999999</v>
      </c>
      <c r="J35" s="210">
        <f t="shared" si="6"/>
        <v>171929.46960000001</v>
      </c>
      <c r="K35" s="210">
        <f t="shared" si="29"/>
        <v>280005.52591999999</v>
      </c>
      <c r="L35" s="210"/>
      <c r="M35" s="210">
        <f>K35-G35</f>
        <v>30532.6152</v>
      </c>
      <c r="N35" s="214">
        <f>M35/G35</f>
        <v>0.12238849946425158</v>
      </c>
      <c r="O35" s="210"/>
      <c r="P35" s="210">
        <f t="shared" si="10"/>
        <v>112942.14031999999</v>
      </c>
      <c r="Q35" s="210">
        <f t="shared" si="11"/>
        <v>171929.46960000001</v>
      </c>
      <c r="R35" s="210">
        <f t="shared" si="32"/>
        <v>284871.60992000002</v>
      </c>
      <c r="S35" s="210"/>
      <c r="T35" s="210">
        <f t="shared" si="13"/>
        <v>4866.0840000000317</v>
      </c>
      <c r="U35" s="214">
        <f t="shared" si="14"/>
        <v>1.7378528455864524E-2</v>
      </c>
      <c r="V35" s="210"/>
      <c r="W35" s="210">
        <f t="shared" si="15"/>
        <v>112612.23631999998</v>
      </c>
      <c r="X35" s="210">
        <f t="shared" si="16"/>
        <v>171929.46960000001</v>
      </c>
      <c r="Y35" s="210">
        <f t="shared" si="33"/>
        <v>284541.70591999998</v>
      </c>
      <c r="Z35" s="210"/>
      <c r="AA35" s="210">
        <f t="shared" si="18"/>
        <v>-329.90400000003865</v>
      </c>
      <c r="AB35" s="214">
        <f t="shared" si="19"/>
        <v>-1.158079599763153E-3</v>
      </c>
      <c r="AC35" s="17"/>
      <c r="AD35" s="212"/>
      <c r="AE35" s="212"/>
      <c r="AF35" s="212"/>
    </row>
    <row r="36" spans="1:32" x14ac:dyDescent="0.3">
      <c r="A36" s="1">
        <f t="shared" si="0"/>
        <v>36</v>
      </c>
      <c r="C36" s="216"/>
      <c r="D36" s="216"/>
      <c r="E36" s="231"/>
      <c r="F36" s="231"/>
      <c r="G36" s="231"/>
      <c r="H36" s="232"/>
      <c r="I36" s="231"/>
      <c r="J36" s="231"/>
      <c r="K36" s="231"/>
      <c r="L36" s="231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4"/>
    </row>
    <row r="37" spans="1:32" x14ac:dyDescent="0.3">
      <c r="A37" s="1">
        <f t="shared" si="0"/>
        <v>37</v>
      </c>
      <c r="C37" s="233"/>
      <c r="D37" s="233"/>
      <c r="E37" s="234"/>
      <c r="F37" s="234"/>
      <c r="G37" s="234"/>
      <c r="H37" s="232"/>
    </row>
    <row r="38" spans="1:32" x14ac:dyDescent="0.3">
      <c r="A38" s="1">
        <f t="shared" si="0"/>
        <v>38</v>
      </c>
      <c r="C38" s="200" t="s">
        <v>53</v>
      </c>
      <c r="D38" s="200"/>
      <c r="G38" s="45">
        <f>'EMA R1'!H28</f>
        <v>2024</v>
      </c>
      <c r="I38" s="45">
        <f>'EMA R1'!I28</f>
        <v>2025</v>
      </c>
      <c r="J38" s="45">
        <f>'EMA R1'!J28</f>
        <v>2026</v>
      </c>
      <c r="K38" s="45">
        <f>'EMA R1'!L28</f>
        <v>2027</v>
      </c>
      <c r="M38" s="45" t="str">
        <f>'EMA R1'!M28</f>
        <v>2025 v 2024</v>
      </c>
      <c r="N38" s="45" t="str">
        <f>'EMA R1'!O28</f>
        <v>2026 v 2025</v>
      </c>
      <c r="P38" s="45" t="str">
        <f>'EMA R1'!P28</f>
        <v>2027 v 2026</v>
      </c>
    </row>
    <row r="39" spans="1:32" x14ac:dyDescent="0.3">
      <c r="A39" s="1">
        <f t="shared" si="0"/>
        <v>39</v>
      </c>
      <c r="C39" s="23" t="s">
        <v>53</v>
      </c>
      <c r="D39" s="200"/>
      <c r="G39" s="47" t="s">
        <v>57</v>
      </c>
      <c r="H39" s="200"/>
      <c r="I39" s="47" t="s">
        <v>57</v>
      </c>
      <c r="J39" s="47" t="s">
        <v>57</v>
      </c>
      <c r="K39" s="47" t="s">
        <v>57</v>
      </c>
      <c r="L39" s="37"/>
      <c r="M39" s="48" t="s">
        <v>51</v>
      </c>
      <c r="N39" s="48" t="s">
        <v>51</v>
      </c>
      <c r="O39" s="22"/>
      <c r="P39" s="48" t="s">
        <v>51</v>
      </c>
    </row>
    <row r="40" spans="1:32" x14ac:dyDescent="0.3">
      <c r="A40" s="1">
        <f t="shared" si="0"/>
        <v>40</v>
      </c>
      <c r="C40" s="28" t="s">
        <v>58</v>
      </c>
      <c r="D40" s="23"/>
      <c r="G40" s="88">
        <v>3800</v>
      </c>
      <c r="H40" s="88"/>
      <c r="I40" s="88">
        <f>G40</f>
        <v>3800</v>
      </c>
      <c r="J40" s="88">
        <f>G40</f>
        <v>3800</v>
      </c>
      <c r="K40" s="88">
        <f>G40</f>
        <v>3800</v>
      </c>
      <c r="L40" s="88"/>
      <c r="M40" s="50">
        <f>+I40-G40</f>
        <v>0</v>
      </c>
      <c r="N40" s="50">
        <f>+J40-I40</f>
        <v>0</v>
      </c>
      <c r="O40" s="50"/>
      <c r="P40" s="50">
        <f>+K40-J40</f>
        <v>0</v>
      </c>
      <c r="Q40" s="89" t="s">
        <v>59</v>
      </c>
    </row>
    <row r="41" spans="1:32" x14ac:dyDescent="0.3">
      <c r="A41" s="1">
        <f t="shared" si="0"/>
        <v>41</v>
      </c>
      <c r="C41" s="28" t="s">
        <v>216</v>
      </c>
      <c r="D41" s="23"/>
      <c r="G41" s="88">
        <v>7.43</v>
      </c>
      <c r="H41" s="88"/>
      <c r="I41" s="88">
        <f>G41</f>
        <v>7.43</v>
      </c>
      <c r="J41" s="88">
        <f t="shared" ref="J41:J69" si="34">G41</f>
        <v>7.43</v>
      </c>
      <c r="K41" s="88">
        <f t="shared" ref="K41:K69" si="35">G41</f>
        <v>7.43</v>
      </c>
      <c r="M41" s="50">
        <f t="shared" ref="M41:M69" si="36">+I41-G41</f>
        <v>0</v>
      </c>
      <c r="N41" s="50">
        <f t="shared" ref="N41:N69" si="37">+J41-I41</f>
        <v>0</v>
      </c>
      <c r="O41" s="50"/>
      <c r="P41" s="50">
        <f t="shared" ref="P41:P69" si="38">+K41-J41</f>
        <v>0</v>
      </c>
      <c r="Q41" s="89" t="s">
        <v>59</v>
      </c>
    </row>
    <row r="42" spans="1:32" x14ac:dyDescent="0.3">
      <c r="A42" s="1">
        <f t="shared" si="0"/>
        <v>42</v>
      </c>
      <c r="C42" s="28" t="s">
        <v>155</v>
      </c>
      <c r="D42" s="23"/>
      <c r="G42" s="91">
        <v>3.1199999999999999E-3</v>
      </c>
      <c r="H42" s="92"/>
      <c r="I42" s="88">
        <f>G42</f>
        <v>3.1199999999999999E-3</v>
      </c>
      <c r="J42" s="88">
        <f t="shared" si="34"/>
        <v>3.1199999999999999E-3</v>
      </c>
      <c r="K42" s="88">
        <f t="shared" si="35"/>
        <v>3.1199999999999999E-3</v>
      </c>
      <c r="M42" s="50">
        <f t="shared" si="36"/>
        <v>0</v>
      </c>
      <c r="N42" s="50">
        <f t="shared" si="37"/>
        <v>0</v>
      </c>
      <c r="O42" s="50"/>
      <c r="P42" s="50">
        <f t="shared" si="38"/>
        <v>0</v>
      </c>
      <c r="Q42" s="89" t="s">
        <v>59</v>
      </c>
    </row>
    <row r="43" spans="1:32" x14ac:dyDescent="0.3">
      <c r="A43" s="1">
        <f t="shared" si="0"/>
        <v>43</v>
      </c>
      <c r="C43" s="28" t="s">
        <v>203</v>
      </c>
      <c r="D43" s="23"/>
      <c r="G43" s="91">
        <v>1.0200000000000001E-3</v>
      </c>
      <c r="H43" s="92"/>
      <c r="I43" s="88">
        <f t="shared" ref="I43:I68" si="39">G43</f>
        <v>1.0200000000000001E-3</v>
      </c>
      <c r="J43" s="88">
        <f t="shared" si="34"/>
        <v>1.0200000000000001E-3</v>
      </c>
      <c r="K43" s="88">
        <f t="shared" si="35"/>
        <v>1.0200000000000001E-3</v>
      </c>
      <c r="M43" s="50">
        <f t="shared" si="36"/>
        <v>0</v>
      </c>
      <c r="N43" s="50">
        <f t="shared" si="37"/>
        <v>0</v>
      </c>
      <c r="O43" s="50"/>
      <c r="P43" s="50">
        <f t="shared" si="38"/>
        <v>0</v>
      </c>
      <c r="Q43" s="89" t="s">
        <v>59</v>
      </c>
    </row>
    <row r="44" spans="1:32" x14ac:dyDescent="0.3">
      <c r="A44" s="1">
        <f t="shared" si="0"/>
        <v>44</v>
      </c>
      <c r="C44" s="44" t="str">
        <f>+'BOS G3 NEMA'!C56</f>
        <v>Exogenous Cost Adjustment</v>
      </c>
      <c r="D44" s="23"/>
      <c r="G44" s="91">
        <v>3.3E-4</v>
      </c>
      <c r="H44" s="92"/>
      <c r="I44" s="91">
        <f t="shared" si="39"/>
        <v>3.3E-4</v>
      </c>
      <c r="J44" s="91">
        <f t="shared" si="34"/>
        <v>3.3E-4</v>
      </c>
      <c r="K44" s="91">
        <f t="shared" si="35"/>
        <v>3.3E-4</v>
      </c>
      <c r="L44" s="37"/>
      <c r="M44" s="54">
        <f t="shared" si="36"/>
        <v>0</v>
      </c>
      <c r="N44" s="54">
        <f t="shared" si="37"/>
        <v>0</v>
      </c>
      <c r="O44" s="54"/>
      <c r="P44" s="54">
        <f t="shared" si="38"/>
        <v>0</v>
      </c>
      <c r="Q44" s="89" t="str">
        <f>+'BOS G3 NEMA'!Q56</f>
        <v>ECA</v>
      </c>
    </row>
    <row r="45" spans="1:32" x14ac:dyDescent="0.3">
      <c r="A45" s="1">
        <f t="shared" si="0"/>
        <v>45</v>
      </c>
      <c r="C45" s="44" t="str">
        <f>+'BOS G3 NEMA'!C57</f>
        <v>Revenue Decoupling</v>
      </c>
      <c r="D45" s="23"/>
      <c r="G45" s="91">
        <v>2.0000000000000002E-5</v>
      </c>
      <c r="H45" s="92"/>
      <c r="I45" s="91">
        <f t="shared" si="39"/>
        <v>2.0000000000000002E-5</v>
      </c>
      <c r="J45" s="91">
        <f t="shared" si="34"/>
        <v>2.0000000000000002E-5</v>
      </c>
      <c r="K45" s="91">
        <f t="shared" si="35"/>
        <v>2.0000000000000002E-5</v>
      </c>
      <c r="M45" s="54">
        <f t="shared" si="36"/>
        <v>0</v>
      </c>
      <c r="N45" s="54">
        <f t="shared" si="37"/>
        <v>0</v>
      </c>
      <c r="O45" s="54"/>
      <c r="P45" s="54">
        <f t="shared" si="38"/>
        <v>0</v>
      </c>
      <c r="Q45" s="89" t="str">
        <f>+'BOS G3 NEMA'!Q57</f>
        <v>RDAF</v>
      </c>
      <c r="R45" s="101"/>
      <c r="S45" s="101"/>
      <c r="T45" s="101"/>
      <c r="U45" s="101"/>
      <c r="V45" s="101"/>
      <c r="W45" s="101"/>
    </row>
    <row r="46" spans="1:32" x14ac:dyDescent="0.3">
      <c r="A46" s="1">
        <f t="shared" si="0"/>
        <v>46</v>
      </c>
      <c r="C46" s="44" t="str">
        <f>+'BOS G3 NEMA'!C58</f>
        <v>Distributed Solar Charge</v>
      </c>
      <c r="D46" s="23"/>
      <c r="G46" s="91">
        <v>2.66E-3</v>
      </c>
      <c r="H46" s="92"/>
      <c r="I46" s="91">
        <f t="shared" si="39"/>
        <v>2.66E-3</v>
      </c>
      <c r="J46" s="91">
        <f t="shared" si="34"/>
        <v>2.66E-3</v>
      </c>
      <c r="K46" s="91">
        <f t="shared" si="35"/>
        <v>2.66E-3</v>
      </c>
      <c r="M46" s="54">
        <f t="shared" si="36"/>
        <v>0</v>
      </c>
      <c r="N46" s="54">
        <f t="shared" si="37"/>
        <v>0</v>
      </c>
      <c r="O46" s="54"/>
      <c r="P46" s="54">
        <f t="shared" si="38"/>
        <v>0</v>
      </c>
      <c r="Q46" s="89" t="str">
        <f>+'BOS G3 NEMA'!Q58</f>
        <v>SMART</v>
      </c>
      <c r="R46" s="101"/>
      <c r="S46" s="101"/>
      <c r="T46" s="101"/>
      <c r="U46" s="101"/>
      <c r="V46" s="101"/>
      <c r="W46" s="101"/>
    </row>
    <row r="47" spans="1:32" x14ac:dyDescent="0.3">
      <c r="A47" s="1">
        <f t="shared" si="0"/>
        <v>47</v>
      </c>
      <c r="C47" s="44" t="str">
        <f>+'BOS G3 NEMA'!C59</f>
        <v>Residential Assistance Adjustment Factor</v>
      </c>
      <c r="D47" s="23"/>
      <c r="G47" s="53">
        <v>2.7200000000000002E-3</v>
      </c>
      <c r="H47" s="92"/>
      <c r="I47" s="91">
        <f t="shared" si="39"/>
        <v>2.7200000000000002E-3</v>
      </c>
      <c r="J47" s="91">
        <f t="shared" si="34"/>
        <v>2.7200000000000002E-3</v>
      </c>
      <c r="K47" s="91">
        <f t="shared" si="35"/>
        <v>2.7200000000000002E-3</v>
      </c>
      <c r="M47" s="54">
        <f t="shared" si="36"/>
        <v>0</v>
      </c>
      <c r="N47" s="54">
        <f t="shared" si="37"/>
        <v>0</v>
      </c>
      <c r="O47" s="54"/>
      <c r="P47" s="54">
        <f t="shared" si="38"/>
        <v>0</v>
      </c>
      <c r="Q47" s="89" t="str">
        <f>+'BOS G3 NEMA'!Q59</f>
        <v>RAAF</v>
      </c>
      <c r="R47" s="101"/>
      <c r="S47" s="101"/>
      <c r="T47" s="101"/>
      <c r="U47" s="101"/>
      <c r="V47" s="101"/>
      <c r="W47" s="101"/>
    </row>
    <row r="48" spans="1:32" x14ac:dyDescent="0.3">
      <c r="A48" s="1">
        <f t="shared" si="0"/>
        <v>48</v>
      </c>
      <c r="C48" s="44" t="str">
        <f>+'BOS G3 NEMA'!C60</f>
        <v>Pension Adjustment Factor</v>
      </c>
      <c r="D48" s="23"/>
      <c r="G48" s="53">
        <v>2.7E-4</v>
      </c>
      <c r="H48" s="92"/>
      <c r="I48" s="91">
        <f t="shared" si="39"/>
        <v>2.7E-4</v>
      </c>
      <c r="J48" s="91">
        <f t="shared" si="34"/>
        <v>2.7E-4</v>
      </c>
      <c r="K48" s="91">
        <f t="shared" si="35"/>
        <v>2.7E-4</v>
      </c>
      <c r="M48" s="54">
        <f t="shared" si="36"/>
        <v>0</v>
      </c>
      <c r="N48" s="54">
        <f t="shared" si="37"/>
        <v>0</v>
      </c>
      <c r="O48" s="54"/>
      <c r="P48" s="54">
        <f t="shared" si="38"/>
        <v>0</v>
      </c>
      <c r="Q48" s="89" t="str">
        <f>+'BOS G3 NEMA'!Q60</f>
        <v>PAF</v>
      </c>
      <c r="R48" s="101"/>
      <c r="S48" s="101"/>
      <c r="T48" s="101"/>
      <c r="U48" s="101"/>
      <c r="V48" s="101"/>
      <c r="W48" s="101"/>
    </row>
    <row r="49" spans="1:23" x14ac:dyDescent="0.3">
      <c r="A49" s="1">
        <f t="shared" si="0"/>
        <v>49</v>
      </c>
      <c r="C49" s="44" t="str">
        <f>+'BOS G3 NEMA'!C61</f>
        <v>Net Metering Recovery Surcharge</v>
      </c>
      <c r="D49" s="23"/>
      <c r="G49" s="91">
        <v>5.4000000000000003E-3</v>
      </c>
      <c r="H49" s="92"/>
      <c r="I49" s="53">
        <f t="shared" si="39"/>
        <v>5.4000000000000003E-3</v>
      </c>
      <c r="J49" s="53">
        <f t="shared" si="34"/>
        <v>5.4000000000000003E-3</v>
      </c>
      <c r="K49" s="53">
        <f t="shared" si="35"/>
        <v>5.4000000000000003E-3</v>
      </c>
      <c r="M49" s="54">
        <f t="shared" si="36"/>
        <v>0</v>
      </c>
      <c r="N49" s="54">
        <f t="shared" si="37"/>
        <v>0</v>
      </c>
      <c r="O49" s="54"/>
      <c r="P49" s="54">
        <f t="shared" si="38"/>
        <v>0</v>
      </c>
      <c r="Q49" s="89" t="str">
        <f>+'BOS G3 NEMA'!Q61</f>
        <v>NMRS</v>
      </c>
      <c r="R49" s="101"/>
      <c r="S49" s="101"/>
      <c r="T49" s="101"/>
      <c r="U49" s="101"/>
      <c r="V49" s="101"/>
      <c r="W49" s="101"/>
    </row>
    <row r="50" spans="1:23" x14ac:dyDescent="0.3">
      <c r="A50" s="1">
        <f t="shared" si="0"/>
        <v>50</v>
      </c>
      <c r="C50" s="44" t="str">
        <f>+'BOS G3 NEMA'!C62</f>
        <v>Long Term Renewable Contract Adjustment</v>
      </c>
      <c r="D50" s="23"/>
      <c r="G50" s="53">
        <v>-1.9300000000000001E-3</v>
      </c>
      <c r="H50" s="92"/>
      <c r="I50" s="53">
        <f t="shared" si="39"/>
        <v>-1.9300000000000001E-3</v>
      </c>
      <c r="J50" s="53">
        <f t="shared" si="34"/>
        <v>-1.9300000000000001E-3</v>
      </c>
      <c r="K50" s="53">
        <f t="shared" si="35"/>
        <v>-1.9300000000000001E-3</v>
      </c>
      <c r="M50" s="54">
        <f t="shared" si="36"/>
        <v>0</v>
      </c>
      <c r="N50" s="54">
        <f t="shared" si="37"/>
        <v>0</v>
      </c>
      <c r="O50" s="54"/>
      <c r="P50" s="54">
        <f t="shared" si="38"/>
        <v>0</v>
      </c>
      <c r="Q50" s="89" t="str">
        <f>+'BOS G3 NEMA'!Q62</f>
        <v>LTRCA</v>
      </c>
      <c r="R50" s="101"/>
      <c r="S50" s="101"/>
      <c r="T50" s="101"/>
      <c r="U50" s="101"/>
      <c r="V50" s="101"/>
      <c r="W50" s="101"/>
    </row>
    <row r="51" spans="1:23" x14ac:dyDescent="0.3">
      <c r="A51" s="1">
        <f t="shared" si="0"/>
        <v>51</v>
      </c>
      <c r="C51" s="44" t="str">
        <f>+'BOS G3 NEMA'!C63</f>
        <v>AG Consulting Expense</v>
      </c>
      <c r="D51" s="23"/>
      <c r="G51" s="53">
        <v>1.0000000000000001E-5</v>
      </c>
      <c r="H51" s="92"/>
      <c r="I51" s="91">
        <f t="shared" si="39"/>
        <v>1.0000000000000001E-5</v>
      </c>
      <c r="J51" s="91">
        <f t="shared" si="34"/>
        <v>1.0000000000000001E-5</v>
      </c>
      <c r="K51" s="91">
        <f t="shared" si="35"/>
        <v>1.0000000000000001E-5</v>
      </c>
      <c r="M51" s="54">
        <f t="shared" si="36"/>
        <v>0</v>
      </c>
      <c r="N51" s="54">
        <f t="shared" si="37"/>
        <v>0</v>
      </c>
      <c r="O51" s="54"/>
      <c r="P51" s="54">
        <f t="shared" si="38"/>
        <v>0</v>
      </c>
      <c r="Q51" s="89" t="str">
        <f>+'BOS G3 NEMA'!Q63</f>
        <v>AGCE</v>
      </c>
      <c r="R51" s="101"/>
      <c r="S51" s="101"/>
      <c r="T51" s="101"/>
      <c r="U51" s="101"/>
      <c r="V51" s="101"/>
      <c r="W51" s="101"/>
    </row>
    <row r="52" spans="1:23" x14ac:dyDescent="0.3">
      <c r="A52" s="1">
        <f t="shared" si="0"/>
        <v>52</v>
      </c>
      <c r="C52" s="44" t="str">
        <f>+'BOS G3 NEMA'!C64</f>
        <v>Storm Cost Recovery Adjustment Factor</v>
      </c>
      <c r="D52" s="23"/>
      <c r="G52" s="53">
        <v>2.2100000000000002E-3</v>
      </c>
      <c r="H52" s="92"/>
      <c r="I52" s="53">
        <f t="shared" si="39"/>
        <v>2.2100000000000002E-3</v>
      </c>
      <c r="J52" s="53">
        <f t="shared" si="34"/>
        <v>2.2100000000000002E-3</v>
      </c>
      <c r="K52" s="53">
        <f t="shared" si="35"/>
        <v>2.2100000000000002E-3</v>
      </c>
      <c r="M52" s="54">
        <f t="shared" si="36"/>
        <v>0</v>
      </c>
      <c r="N52" s="54">
        <f t="shared" si="37"/>
        <v>0</v>
      </c>
      <c r="O52" s="54"/>
      <c r="P52" s="54">
        <f t="shared" si="38"/>
        <v>0</v>
      </c>
      <c r="Q52" s="89" t="str">
        <f>+'BOS G3 NEMA'!Q64</f>
        <v>SCRA</v>
      </c>
      <c r="R52" s="101"/>
      <c r="S52" s="101"/>
      <c r="T52" s="101"/>
      <c r="U52" s="101"/>
      <c r="V52" s="101"/>
      <c r="W52" s="101"/>
    </row>
    <row r="53" spans="1:23" x14ac:dyDescent="0.3">
      <c r="A53" s="1">
        <f t="shared" si="0"/>
        <v>53</v>
      </c>
      <c r="C53" s="44" t="str">
        <f>+'BOS G3 NEMA'!C65</f>
        <v>Storm Reserve Adjustment</v>
      </c>
      <c r="D53" s="23"/>
      <c r="G53" s="53">
        <v>0</v>
      </c>
      <c r="H53" s="92"/>
      <c r="I53" s="53">
        <f t="shared" si="39"/>
        <v>0</v>
      </c>
      <c r="J53" s="53">
        <f t="shared" si="34"/>
        <v>0</v>
      </c>
      <c r="K53" s="53">
        <f t="shared" si="35"/>
        <v>0</v>
      </c>
      <c r="M53" s="54">
        <f t="shared" si="36"/>
        <v>0</v>
      </c>
      <c r="N53" s="54">
        <f t="shared" si="37"/>
        <v>0</v>
      </c>
      <c r="O53" s="54"/>
      <c r="P53" s="54">
        <f t="shared" si="38"/>
        <v>0</v>
      </c>
      <c r="Q53" s="89" t="str">
        <f>+'BOS G3 NEMA'!Q65</f>
        <v>SRA</v>
      </c>
      <c r="R53" s="101"/>
      <c r="S53" s="101"/>
      <c r="T53" s="101"/>
      <c r="U53" s="101"/>
      <c r="V53" s="101"/>
      <c r="W53" s="101"/>
    </row>
    <row r="54" spans="1:23" x14ac:dyDescent="0.3">
      <c r="A54" s="1">
        <f t="shared" si="0"/>
        <v>54</v>
      </c>
      <c r="C54" s="44" t="str">
        <f>+'BOS G3 NEMA'!C66</f>
        <v>Basic Service Cost True Up Factor</v>
      </c>
      <c r="D54" s="23"/>
      <c r="G54" s="53">
        <v>-1.4999999999999999E-4</v>
      </c>
      <c r="H54" s="92"/>
      <c r="I54" s="53">
        <f t="shared" si="39"/>
        <v>-1.4999999999999999E-4</v>
      </c>
      <c r="J54" s="53">
        <f t="shared" si="34"/>
        <v>-1.4999999999999999E-4</v>
      </c>
      <c r="K54" s="53">
        <f t="shared" si="35"/>
        <v>-1.4999999999999999E-4</v>
      </c>
      <c r="M54" s="54">
        <f t="shared" si="36"/>
        <v>0</v>
      </c>
      <c r="N54" s="54">
        <f t="shared" si="37"/>
        <v>0</v>
      </c>
      <c r="O54" s="54"/>
      <c r="P54" s="54">
        <f t="shared" si="38"/>
        <v>0</v>
      </c>
      <c r="Q54" s="89" t="str">
        <f>+'BOS G3 NEMA'!Q66</f>
        <v>BSTF</v>
      </c>
      <c r="R54" s="101"/>
      <c r="S54" s="101"/>
      <c r="T54" s="101"/>
      <c r="U54" s="101"/>
      <c r="V54" s="101"/>
      <c r="W54" s="101"/>
    </row>
    <row r="55" spans="1:23" x14ac:dyDescent="0.3">
      <c r="A55" s="1">
        <f t="shared" si="0"/>
        <v>55</v>
      </c>
      <c r="C55" s="44" t="str">
        <f>+'BOS G3 NEMA'!C67</f>
        <v>Solar Program Cost Adjustment Factor</v>
      </c>
      <c r="D55" s="37"/>
      <c r="E55" s="37"/>
      <c r="F55" s="53"/>
      <c r="G55" s="53">
        <v>0</v>
      </c>
      <c r="H55" s="92"/>
      <c r="I55" s="53">
        <f t="shared" si="39"/>
        <v>0</v>
      </c>
      <c r="J55" s="53">
        <f t="shared" si="34"/>
        <v>0</v>
      </c>
      <c r="K55" s="53">
        <f t="shared" si="35"/>
        <v>0</v>
      </c>
      <c r="M55" s="54">
        <f t="shared" si="36"/>
        <v>0</v>
      </c>
      <c r="N55" s="54">
        <f t="shared" si="37"/>
        <v>0</v>
      </c>
      <c r="O55" s="54"/>
      <c r="P55" s="54">
        <f t="shared" si="38"/>
        <v>0</v>
      </c>
      <c r="Q55" s="89" t="str">
        <f>+'BOS G3 NEMA'!Q67</f>
        <v>SPCA</v>
      </c>
    </row>
    <row r="56" spans="1:23" x14ac:dyDescent="0.3">
      <c r="A56" s="1">
        <f t="shared" si="0"/>
        <v>56</v>
      </c>
      <c r="C56" s="44" t="str">
        <f>+'BOS G3 NEMA'!C68</f>
        <v>Solar Expansion Cost Recovery Factor</v>
      </c>
      <c r="D56" s="37"/>
      <c r="E56" s="37"/>
      <c r="F56" s="53"/>
      <c r="G56" s="53">
        <v>-1.7000000000000001E-4</v>
      </c>
      <c r="H56" s="92"/>
      <c r="I56" s="53">
        <f t="shared" si="39"/>
        <v>-1.7000000000000001E-4</v>
      </c>
      <c r="J56" s="53">
        <f t="shared" si="34"/>
        <v>-1.7000000000000001E-4</v>
      </c>
      <c r="K56" s="53">
        <f t="shared" si="35"/>
        <v>-1.7000000000000001E-4</v>
      </c>
      <c r="L56" s="37"/>
      <c r="M56" s="54">
        <f t="shared" si="36"/>
        <v>0</v>
      </c>
      <c r="N56" s="54">
        <f t="shared" si="37"/>
        <v>0</v>
      </c>
      <c r="O56" s="54"/>
      <c r="P56" s="54">
        <f t="shared" si="38"/>
        <v>0</v>
      </c>
      <c r="Q56" s="89" t="str">
        <f>+'BOS G3 NEMA'!Q68</f>
        <v>SECRF</v>
      </c>
    </row>
    <row r="57" spans="1:23" x14ac:dyDescent="0.3">
      <c r="A57" s="1">
        <f t="shared" si="0"/>
        <v>57</v>
      </c>
      <c r="C57" s="44" t="str">
        <f>+'BOS G3 NEMA'!C69</f>
        <v>Vegetation Management</v>
      </c>
      <c r="D57" s="23"/>
      <c r="G57" s="53">
        <v>5.9999999999999995E-4</v>
      </c>
      <c r="H57" s="92"/>
      <c r="I57" s="53">
        <f t="shared" si="39"/>
        <v>5.9999999999999995E-4</v>
      </c>
      <c r="J57" s="53">
        <f t="shared" si="34"/>
        <v>5.9999999999999995E-4</v>
      </c>
      <c r="K57" s="53">
        <f t="shared" si="35"/>
        <v>5.9999999999999995E-4</v>
      </c>
      <c r="L57" s="37"/>
      <c r="M57" s="54">
        <f t="shared" si="36"/>
        <v>0</v>
      </c>
      <c r="N57" s="54">
        <f t="shared" si="37"/>
        <v>0</v>
      </c>
      <c r="O57" s="54"/>
      <c r="P57" s="54">
        <f t="shared" si="38"/>
        <v>0</v>
      </c>
      <c r="Q57" s="89" t="str">
        <f>+'BOS G3 NEMA'!Q69</f>
        <v>RTWF</v>
      </c>
      <c r="R57" s="101"/>
      <c r="S57" s="101"/>
      <c r="T57" s="101"/>
      <c r="U57" s="101"/>
      <c r="V57" s="101"/>
      <c r="W57" s="101"/>
    </row>
    <row r="58" spans="1:23" x14ac:dyDescent="0.3">
      <c r="A58" s="1">
        <f t="shared" si="0"/>
        <v>58</v>
      </c>
      <c r="C58" s="44" t="str">
        <f>+'BOS G3 NEMA'!C70</f>
        <v>Tax Act Credit Factor</v>
      </c>
      <c r="D58" s="23"/>
      <c r="G58" s="53">
        <v>-5.9999999999999995E-4</v>
      </c>
      <c r="H58" s="92"/>
      <c r="I58" s="53">
        <f t="shared" si="39"/>
        <v>-5.9999999999999995E-4</v>
      </c>
      <c r="J58" s="53">
        <f t="shared" si="34"/>
        <v>-5.9999999999999995E-4</v>
      </c>
      <c r="K58" s="53">
        <f t="shared" si="35"/>
        <v>-5.9999999999999995E-4</v>
      </c>
      <c r="M58" s="54">
        <f t="shared" si="36"/>
        <v>0</v>
      </c>
      <c r="N58" s="54">
        <f t="shared" si="37"/>
        <v>0</v>
      </c>
      <c r="O58" s="54"/>
      <c r="P58" s="54">
        <f t="shared" si="38"/>
        <v>0</v>
      </c>
      <c r="Q58" s="89" t="str">
        <f>+'BOS G3 NEMA'!Q70</f>
        <v>TACF</v>
      </c>
      <c r="R58" s="101"/>
      <c r="S58" s="101"/>
      <c r="T58" s="101"/>
      <c r="U58" s="101"/>
      <c r="V58" s="101"/>
      <c r="W58" s="101"/>
    </row>
    <row r="59" spans="1:23" x14ac:dyDescent="0.3">
      <c r="A59" s="1">
        <f t="shared" si="0"/>
        <v>59</v>
      </c>
      <c r="C59" s="44" t="str">
        <f>+'BOS G3 NEMA'!C71</f>
        <v>Grid Modernization</v>
      </c>
      <c r="D59" s="23"/>
      <c r="G59" s="53">
        <v>7.6999999999999996E-4</v>
      </c>
      <c r="H59" s="92"/>
      <c r="I59" s="53">
        <f t="shared" si="39"/>
        <v>7.6999999999999996E-4</v>
      </c>
      <c r="J59" s="53">
        <f t="shared" si="34"/>
        <v>7.6999999999999996E-4</v>
      </c>
      <c r="K59" s="53">
        <f t="shared" si="35"/>
        <v>7.6999999999999996E-4</v>
      </c>
      <c r="M59" s="54">
        <f t="shared" si="36"/>
        <v>0</v>
      </c>
      <c r="N59" s="54">
        <f t="shared" si="37"/>
        <v>0</v>
      </c>
      <c r="O59" s="54"/>
      <c r="P59" s="54">
        <f t="shared" si="38"/>
        <v>0</v>
      </c>
      <c r="Q59" s="89" t="str">
        <f>+'BOS G3 NEMA'!Q71</f>
        <v>GMOD</v>
      </c>
      <c r="R59" s="101"/>
      <c r="S59" s="101"/>
      <c r="T59" s="101"/>
      <c r="U59" s="101"/>
      <c r="V59" s="101"/>
      <c r="W59" s="101"/>
    </row>
    <row r="60" spans="1:23" x14ac:dyDescent="0.3">
      <c r="A60" s="1">
        <f t="shared" si="0"/>
        <v>60</v>
      </c>
      <c r="C60" s="44" t="str">
        <f>+'BOS G3 NEMA'!C72</f>
        <v>Advanced Metering Infrastructure</v>
      </c>
      <c r="D60" s="23"/>
      <c r="G60" s="53">
        <v>1.0200000000000001E-3</v>
      </c>
      <c r="H60" s="92"/>
      <c r="I60" s="53">
        <f t="shared" si="39"/>
        <v>1.0200000000000001E-3</v>
      </c>
      <c r="J60" s="53">
        <f t="shared" si="34"/>
        <v>1.0200000000000001E-3</v>
      </c>
      <c r="K60" s="53">
        <f t="shared" si="35"/>
        <v>1.0200000000000001E-3</v>
      </c>
      <c r="M60" s="54">
        <f t="shared" si="36"/>
        <v>0</v>
      </c>
      <c r="N60" s="54">
        <f t="shared" si="37"/>
        <v>0</v>
      </c>
      <c r="O60" s="54"/>
      <c r="P60" s="54">
        <f t="shared" si="38"/>
        <v>0</v>
      </c>
      <c r="Q60" s="89" t="str">
        <f>+'BOS G3 NEMA'!Q72</f>
        <v>AMIF</v>
      </c>
      <c r="R60" s="101"/>
      <c r="S60" s="101"/>
      <c r="T60" s="101"/>
      <c r="U60" s="101"/>
      <c r="V60" s="101"/>
      <c r="W60" s="101"/>
    </row>
    <row r="61" spans="1:23" x14ac:dyDescent="0.3">
      <c r="A61" s="1">
        <f t="shared" si="0"/>
        <v>61</v>
      </c>
      <c r="C61" s="44" t="str">
        <f>+'BOS G3 NEMA'!C73</f>
        <v>Electronic Payment Recovery</v>
      </c>
      <c r="D61" s="23"/>
      <c r="G61" s="53">
        <v>0</v>
      </c>
      <c r="H61" s="92"/>
      <c r="I61" s="53">
        <f t="shared" si="39"/>
        <v>0</v>
      </c>
      <c r="J61" s="53">
        <f t="shared" si="34"/>
        <v>0</v>
      </c>
      <c r="K61" s="53">
        <f t="shared" si="35"/>
        <v>0</v>
      </c>
      <c r="M61" s="54">
        <f t="shared" si="36"/>
        <v>0</v>
      </c>
      <c r="N61" s="54">
        <f t="shared" si="37"/>
        <v>0</v>
      </c>
      <c r="O61" s="54"/>
      <c r="P61" s="54">
        <f t="shared" si="38"/>
        <v>0</v>
      </c>
      <c r="Q61" s="89" t="str">
        <f>+'BOS G3 NEMA'!Q73</f>
        <v>EPR</v>
      </c>
      <c r="R61" s="101"/>
      <c r="S61" s="101"/>
      <c r="T61" s="101"/>
      <c r="U61" s="101"/>
      <c r="V61" s="101"/>
      <c r="W61" s="101"/>
    </row>
    <row r="62" spans="1:23" x14ac:dyDescent="0.3">
      <c r="A62" s="1">
        <f t="shared" si="0"/>
        <v>62</v>
      </c>
      <c r="C62" s="44" t="str">
        <f>+'BOS G3 NEMA'!C74</f>
        <v>Provisional System Planning Factor</v>
      </c>
      <c r="D62" s="23"/>
      <c r="G62" s="53">
        <v>0</v>
      </c>
      <c r="H62" s="92"/>
      <c r="I62" s="53">
        <f t="shared" si="39"/>
        <v>0</v>
      </c>
      <c r="J62" s="53">
        <f t="shared" si="34"/>
        <v>0</v>
      </c>
      <c r="K62" s="53">
        <f t="shared" si="35"/>
        <v>0</v>
      </c>
      <c r="M62" s="54">
        <f t="shared" si="36"/>
        <v>0</v>
      </c>
      <c r="N62" s="54">
        <f t="shared" si="37"/>
        <v>0</v>
      </c>
      <c r="O62" s="54"/>
      <c r="P62" s="54">
        <f t="shared" si="38"/>
        <v>0</v>
      </c>
      <c r="Q62" s="89" t="str">
        <f>+'BOS G3 NEMA'!Q74</f>
        <v>PSPF</v>
      </c>
      <c r="R62" s="101"/>
      <c r="S62" s="101"/>
      <c r="T62" s="101"/>
      <c r="U62" s="101"/>
      <c r="V62" s="101"/>
      <c r="W62" s="101"/>
    </row>
    <row r="63" spans="1:23" x14ac:dyDescent="0.3">
      <c r="A63" s="1">
        <f t="shared" si="0"/>
        <v>63</v>
      </c>
      <c r="C63" s="44" t="str">
        <f>+'BOS G3 NEMA'!C75</f>
        <v>Electric Vehicle Factor</v>
      </c>
      <c r="D63" s="23"/>
      <c r="G63" s="53">
        <v>4.8000000000000001E-4</v>
      </c>
      <c r="H63" s="92"/>
      <c r="I63" s="53">
        <f t="shared" si="39"/>
        <v>4.8000000000000001E-4</v>
      </c>
      <c r="J63" s="53">
        <f t="shared" si="34"/>
        <v>4.8000000000000001E-4</v>
      </c>
      <c r="K63" s="53">
        <f t="shared" si="35"/>
        <v>4.8000000000000001E-4</v>
      </c>
      <c r="M63" s="54">
        <f t="shared" si="36"/>
        <v>0</v>
      </c>
      <c r="N63" s="54">
        <f t="shared" si="37"/>
        <v>0</v>
      </c>
      <c r="O63" s="54"/>
      <c r="P63" s="54">
        <f t="shared" si="38"/>
        <v>0</v>
      </c>
      <c r="Q63" s="89" t="str">
        <f>+'BOS G3 NEMA'!Q75</f>
        <v>EVF</v>
      </c>
      <c r="R63" s="101"/>
      <c r="S63" s="101"/>
      <c r="T63" s="101"/>
      <c r="U63" s="101"/>
      <c r="V63" s="101"/>
      <c r="W63" s="101"/>
    </row>
    <row r="64" spans="1:23" x14ac:dyDescent="0.3">
      <c r="A64" s="1">
        <f t="shared" si="0"/>
        <v>64</v>
      </c>
      <c r="C64" s="44" t="str">
        <f>+'BOS G3 NEMA'!C76</f>
        <v>Transition</v>
      </c>
      <c r="D64" s="23"/>
      <c r="G64" s="53">
        <v>-3.6999999999999999E-4</v>
      </c>
      <c r="H64" s="92"/>
      <c r="I64" s="91">
        <f>G64</f>
        <v>-3.6999999999999999E-4</v>
      </c>
      <c r="J64" s="91">
        <f t="shared" si="34"/>
        <v>-3.6999999999999999E-4</v>
      </c>
      <c r="K64" s="91">
        <f t="shared" si="35"/>
        <v>-3.6999999999999999E-4</v>
      </c>
      <c r="M64" s="54">
        <f t="shared" si="36"/>
        <v>0</v>
      </c>
      <c r="N64" s="54">
        <f t="shared" si="37"/>
        <v>0</v>
      </c>
      <c r="O64" s="54"/>
      <c r="P64" s="54">
        <f t="shared" si="38"/>
        <v>0</v>
      </c>
      <c r="Q64" s="89" t="str">
        <f>+'BOS G3 NEMA'!Q76</f>
        <v>TRNSN</v>
      </c>
      <c r="R64" s="101"/>
      <c r="S64" s="101"/>
      <c r="T64" s="101"/>
      <c r="U64" s="101"/>
      <c r="V64" s="101"/>
      <c r="W64" s="101"/>
    </row>
    <row r="65" spans="1:23" x14ac:dyDescent="0.3">
      <c r="A65" s="1">
        <f t="shared" si="0"/>
        <v>65</v>
      </c>
      <c r="C65" s="28" t="s">
        <v>147</v>
      </c>
      <c r="D65" s="23"/>
      <c r="G65" s="88">
        <v>12.87</v>
      </c>
      <c r="H65" s="88"/>
      <c r="I65" s="88">
        <f t="shared" si="39"/>
        <v>12.87</v>
      </c>
      <c r="J65" s="88">
        <f t="shared" si="34"/>
        <v>12.87</v>
      </c>
      <c r="K65" s="88">
        <f t="shared" si="35"/>
        <v>12.87</v>
      </c>
      <c r="M65" s="50">
        <f t="shared" si="36"/>
        <v>0</v>
      </c>
      <c r="N65" s="50">
        <f t="shared" si="37"/>
        <v>0</v>
      </c>
      <c r="O65" s="88"/>
      <c r="P65" s="50">
        <f t="shared" si="38"/>
        <v>0</v>
      </c>
      <c r="Q65" s="51" t="s">
        <v>104</v>
      </c>
      <c r="R65" s="101"/>
      <c r="S65" s="101"/>
      <c r="T65" s="101"/>
      <c r="U65" s="101"/>
      <c r="V65" s="101"/>
      <c r="W65" s="101"/>
    </row>
    <row r="66" spans="1:23" x14ac:dyDescent="0.3">
      <c r="A66" s="1">
        <f t="shared" si="0"/>
        <v>66</v>
      </c>
      <c r="C66" s="28" t="s">
        <v>105</v>
      </c>
      <c r="D66" s="23"/>
      <c r="G66" s="53">
        <v>-8.1300000000000001E-3</v>
      </c>
      <c r="H66" s="92"/>
      <c r="I66" s="91">
        <v>1.038E-2</v>
      </c>
      <c r="J66" s="91">
        <v>1.333E-2</v>
      </c>
      <c r="K66" s="91">
        <v>1.3129999999999999E-2</v>
      </c>
      <c r="M66" s="54">
        <f t="shared" si="36"/>
        <v>1.8509999999999999E-2</v>
      </c>
      <c r="N66" s="54">
        <f t="shared" si="37"/>
        <v>2.9499999999999995E-3</v>
      </c>
      <c r="O66" s="54"/>
      <c r="P66" s="54">
        <f t="shared" si="38"/>
        <v>-2.0000000000000052E-4</v>
      </c>
      <c r="Q66" s="89" t="s">
        <v>106</v>
      </c>
      <c r="R66" s="101"/>
      <c r="S66" s="101"/>
      <c r="T66" s="101"/>
      <c r="U66" s="101"/>
      <c r="V66" s="101"/>
      <c r="W66" s="101"/>
    </row>
    <row r="67" spans="1:23" x14ac:dyDescent="0.3">
      <c r="A67" s="1">
        <f t="shared" ref="A67:A74" si="40">A66+1</f>
        <v>67</v>
      </c>
      <c r="C67" s="28" t="s">
        <v>107</v>
      </c>
      <c r="D67" s="200"/>
      <c r="E67" s="219"/>
      <c r="G67" s="53">
        <v>2.5000000000000001E-3</v>
      </c>
      <c r="H67" s="92"/>
      <c r="I67" s="221">
        <f t="shared" si="39"/>
        <v>2.5000000000000001E-3</v>
      </c>
      <c r="J67" s="221">
        <f t="shared" si="34"/>
        <v>2.5000000000000001E-3</v>
      </c>
      <c r="K67" s="221">
        <f t="shared" si="35"/>
        <v>2.5000000000000001E-3</v>
      </c>
      <c r="M67" s="54">
        <f t="shared" si="36"/>
        <v>0</v>
      </c>
      <c r="N67" s="54">
        <f t="shared" si="37"/>
        <v>0</v>
      </c>
      <c r="O67" s="54"/>
      <c r="P67" s="54">
        <f t="shared" si="38"/>
        <v>0</v>
      </c>
      <c r="Q67" s="89" t="s">
        <v>108</v>
      </c>
    </row>
    <row r="68" spans="1:23" x14ac:dyDescent="0.3">
      <c r="A68" s="1">
        <f t="shared" si="40"/>
        <v>68</v>
      </c>
      <c r="C68" s="28" t="s">
        <v>109</v>
      </c>
      <c r="G68" s="53">
        <v>5.0000000000000001E-4</v>
      </c>
      <c r="H68" s="92"/>
      <c r="I68" s="91">
        <f t="shared" si="39"/>
        <v>5.0000000000000001E-4</v>
      </c>
      <c r="J68" s="91">
        <f t="shared" si="34"/>
        <v>5.0000000000000001E-4</v>
      </c>
      <c r="K68" s="91">
        <f t="shared" si="35"/>
        <v>5.0000000000000001E-4</v>
      </c>
      <c r="M68" s="54">
        <f t="shared" si="36"/>
        <v>0</v>
      </c>
      <c r="N68" s="54">
        <f t="shared" si="37"/>
        <v>0</v>
      </c>
      <c r="O68" s="54"/>
      <c r="P68" s="54">
        <f t="shared" si="38"/>
        <v>0</v>
      </c>
      <c r="Q68" s="89" t="s">
        <v>110</v>
      </c>
    </row>
    <row r="69" spans="1:23" x14ac:dyDescent="0.3">
      <c r="A69" s="1">
        <f t="shared" si="40"/>
        <v>69</v>
      </c>
      <c r="C69" s="28" t="s">
        <v>111</v>
      </c>
      <c r="G69" s="92">
        <v>0.10423</v>
      </c>
      <c r="H69" s="92"/>
      <c r="I69" s="91">
        <f>+G69</f>
        <v>0.10423</v>
      </c>
      <c r="J69" s="91">
        <f t="shared" si="34"/>
        <v>0.10423</v>
      </c>
      <c r="K69" s="91">
        <f t="shared" si="35"/>
        <v>0.10423</v>
      </c>
      <c r="M69" s="54">
        <f t="shared" si="36"/>
        <v>0</v>
      </c>
      <c r="N69" s="54">
        <f t="shared" si="37"/>
        <v>0</v>
      </c>
      <c r="O69" s="54"/>
      <c r="P69" s="54">
        <f t="shared" si="38"/>
        <v>0</v>
      </c>
      <c r="Q69" s="89" t="s">
        <v>112</v>
      </c>
    </row>
    <row r="70" spans="1:23" x14ac:dyDescent="0.3">
      <c r="A70" s="1">
        <f t="shared" si="40"/>
        <v>70</v>
      </c>
      <c r="C70" s="28"/>
      <c r="G70" s="176"/>
      <c r="H70" s="218"/>
      <c r="I70" s="91"/>
      <c r="J70" s="91"/>
      <c r="K70" s="91"/>
      <c r="M70" s="54"/>
      <c r="N70" s="54"/>
      <c r="O70" s="54"/>
      <c r="P70" s="54"/>
    </row>
    <row r="71" spans="1:23" x14ac:dyDescent="0.3">
      <c r="A71" s="1">
        <f t="shared" si="40"/>
        <v>71</v>
      </c>
      <c r="C71" s="222" t="s">
        <v>160</v>
      </c>
      <c r="E71" s="223">
        <v>0.26</v>
      </c>
      <c r="G71" s="176"/>
      <c r="H71" s="218"/>
      <c r="I71" s="92"/>
      <c r="J71" s="92"/>
      <c r="K71" s="92"/>
      <c r="M71" s="54"/>
      <c r="N71" s="54"/>
      <c r="O71" s="54"/>
      <c r="P71" s="54"/>
    </row>
    <row r="72" spans="1:23" x14ac:dyDescent="0.3">
      <c r="A72" s="1">
        <f t="shared" si="40"/>
        <v>72</v>
      </c>
      <c r="C72" s="222" t="s">
        <v>161</v>
      </c>
      <c r="D72" s="235"/>
      <c r="E72" s="223">
        <v>0.74</v>
      </c>
      <c r="G72" s="176"/>
      <c r="H72" s="218"/>
      <c r="I72" s="221"/>
      <c r="J72" s="221"/>
    </row>
    <row r="73" spans="1:23" x14ac:dyDescent="0.3">
      <c r="A73" s="1">
        <f t="shared" si="40"/>
        <v>73</v>
      </c>
      <c r="D73" s="235"/>
      <c r="E73" s="223"/>
      <c r="G73" s="176"/>
      <c r="H73" s="218"/>
      <c r="I73" s="221"/>
      <c r="J73" s="221"/>
    </row>
    <row r="74" spans="1:23" x14ac:dyDescent="0.3">
      <c r="A74" s="1">
        <f t="shared" si="40"/>
        <v>74</v>
      </c>
      <c r="C74" s="200" t="s">
        <v>218</v>
      </c>
      <c r="G74" s="176"/>
      <c r="H74" s="218"/>
      <c r="I74" s="221"/>
      <c r="J74" s="221"/>
    </row>
    <row r="75" spans="1:23" x14ac:dyDescent="0.3">
      <c r="A75" s="1"/>
      <c r="C75" s="200"/>
      <c r="G75" s="176"/>
      <c r="H75" s="218"/>
      <c r="I75" s="221"/>
      <c r="J75" s="221"/>
    </row>
    <row r="76" spans="1:23" x14ac:dyDescent="0.3">
      <c r="A76" s="1"/>
      <c r="C76" s="200"/>
      <c r="G76" s="176"/>
      <c r="H76" s="218"/>
      <c r="I76" s="221"/>
      <c r="J76" s="221"/>
    </row>
    <row r="77" spans="1:23" x14ac:dyDescent="0.3">
      <c r="A77" s="1"/>
      <c r="C77" s="28" t="s">
        <v>58</v>
      </c>
      <c r="G77" s="88">
        <f>+G40</f>
        <v>3800</v>
      </c>
      <c r="H77" s="88"/>
      <c r="I77" s="88">
        <f>+I40</f>
        <v>3800</v>
      </c>
      <c r="J77" s="88">
        <f t="shared" ref="J77:K77" si="41">+J40</f>
        <v>3800</v>
      </c>
      <c r="K77" s="88">
        <f t="shared" si="41"/>
        <v>3800</v>
      </c>
    </row>
    <row r="78" spans="1:23" x14ac:dyDescent="0.3">
      <c r="A78" s="1"/>
      <c r="C78" s="28" t="s">
        <v>148</v>
      </c>
      <c r="G78" s="88">
        <f>SUM(G41,G65)</f>
        <v>20.299999999999997</v>
      </c>
      <c r="H78" s="88"/>
      <c r="I78" s="88">
        <f>SUM(I41,I65)</f>
        <v>20.299999999999997</v>
      </c>
      <c r="J78" s="88">
        <f t="shared" ref="J78:K78" si="42">SUM(J41,J65)</f>
        <v>20.299999999999997</v>
      </c>
      <c r="K78" s="88">
        <f t="shared" si="42"/>
        <v>20.299999999999997</v>
      </c>
    </row>
    <row r="79" spans="1:23" x14ac:dyDescent="0.3">
      <c r="A79" s="1"/>
      <c r="C79" s="28" t="s">
        <v>162</v>
      </c>
      <c r="G79" s="53">
        <f>SUM(G42,G44:G64,G66:G68)</f>
        <v>1.1260000000000003E-2</v>
      </c>
      <c r="H79" s="92"/>
      <c r="I79" s="53">
        <f>SUM(I42,I44:I64,I66:I68)</f>
        <v>2.9770000000000001E-2</v>
      </c>
      <c r="J79" s="53">
        <f t="shared" ref="J79:K79" si="43">SUM(J42,J44:J64,J66:J68)</f>
        <v>3.2720000000000006E-2</v>
      </c>
      <c r="K79" s="53">
        <f t="shared" si="43"/>
        <v>3.252E-2</v>
      </c>
    </row>
    <row r="80" spans="1:23" x14ac:dyDescent="0.3">
      <c r="A80" s="1"/>
      <c r="C80" s="28" t="s">
        <v>204</v>
      </c>
      <c r="G80" s="53">
        <f>SUM(G43:G64,G66:G68)</f>
        <v>9.1599999999999997E-3</v>
      </c>
      <c r="H80" s="92"/>
      <c r="I80" s="53">
        <f>SUM(I43:I64,I66:I68)</f>
        <v>2.7669999999999997E-2</v>
      </c>
      <c r="J80" s="53">
        <f t="shared" ref="J80:K80" si="44">SUM(J43:J64,J66:J68)</f>
        <v>3.0619999999999998E-2</v>
      </c>
      <c r="K80" s="53">
        <f t="shared" si="44"/>
        <v>3.0419999999999999E-2</v>
      </c>
    </row>
    <row r="81" spans="1:11" x14ac:dyDescent="0.3">
      <c r="A81" s="1"/>
      <c r="C81" s="28" t="s">
        <v>123</v>
      </c>
      <c r="G81" s="53">
        <f>+G69</f>
        <v>0.10423</v>
      </c>
      <c r="H81" s="92"/>
      <c r="I81" s="53">
        <f>+I69</f>
        <v>0.10423</v>
      </c>
      <c r="J81" s="53">
        <f t="shared" ref="J81:K81" si="45">+J69</f>
        <v>0.10423</v>
      </c>
      <c r="K81" s="53">
        <f t="shared" si="45"/>
        <v>0.10423</v>
      </c>
    </row>
    <row r="82" spans="1:11" x14ac:dyDescent="0.3">
      <c r="A82" s="1"/>
      <c r="B82" s="23"/>
      <c r="C82" s="200"/>
      <c r="G82" s="221"/>
      <c r="H82" s="221"/>
      <c r="I82" s="221"/>
      <c r="J82" s="221"/>
    </row>
    <row r="83" spans="1:11" x14ac:dyDescent="0.3">
      <c r="A83" s="1"/>
      <c r="G83" s="221"/>
      <c r="H83" s="221"/>
      <c r="I83" s="221"/>
      <c r="J83" s="221"/>
    </row>
    <row r="84" spans="1:11" x14ac:dyDescent="0.3">
      <c r="C84" s="200"/>
      <c r="G84" s="221"/>
      <c r="H84" s="221"/>
      <c r="I84" s="221"/>
      <c r="J84" s="221"/>
    </row>
    <row r="85" spans="1:11" x14ac:dyDescent="0.3">
      <c r="G85" s="221"/>
      <c r="H85" s="221"/>
      <c r="I85" s="221"/>
      <c r="J85" s="221"/>
    </row>
    <row r="86" spans="1:11" x14ac:dyDescent="0.3">
      <c r="G86" s="211"/>
      <c r="H86" s="221"/>
      <c r="I86" s="211"/>
      <c r="J86" s="50"/>
    </row>
    <row r="87" spans="1:11" x14ac:dyDescent="0.3">
      <c r="C87" s="200"/>
      <c r="G87" s="221"/>
      <c r="H87" s="221"/>
      <c r="I87" s="221"/>
      <c r="J87" s="94"/>
    </row>
    <row r="88" spans="1:11" x14ac:dyDescent="0.3">
      <c r="C88" s="200"/>
      <c r="G88" s="221"/>
      <c r="H88" s="221"/>
      <c r="I88" s="221"/>
      <c r="J88" s="94"/>
    </row>
    <row r="89" spans="1:11" x14ac:dyDescent="0.3">
      <c r="C89" s="200"/>
      <c r="G89" s="221"/>
      <c r="H89" s="221"/>
      <c r="I89" s="221"/>
      <c r="J89" s="94"/>
    </row>
    <row r="90" spans="1:11" x14ac:dyDescent="0.3">
      <c r="G90" s="221"/>
      <c r="H90" s="221"/>
      <c r="I90" s="221"/>
      <c r="J90" s="221"/>
    </row>
    <row r="104" spans="3:23" x14ac:dyDescent="0.3">
      <c r="C104" s="190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</row>
    <row r="105" spans="3:23" x14ac:dyDescent="0.3">
      <c r="C105" s="224"/>
      <c r="D105" s="224"/>
      <c r="E105" s="225"/>
      <c r="F105" s="225"/>
      <c r="G105" s="225"/>
      <c r="H105" s="226"/>
      <c r="I105" s="225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25"/>
      <c r="V105" s="225"/>
      <c r="W105" s="236"/>
    </row>
    <row r="107" spans="3:23" x14ac:dyDescent="0.3">
      <c r="C107" s="224"/>
      <c r="D107" s="224"/>
      <c r="E107" s="225"/>
      <c r="F107" s="225"/>
      <c r="G107" s="225"/>
      <c r="H107" s="226"/>
      <c r="I107" s="225"/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5"/>
      <c r="U107" s="225"/>
      <c r="V107" s="225"/>
      <c r="W107" s="236"/>
    </row>
  </sheetData>
  <mergeCells count="7">
    <mergeCell ref="AA10:AB10"/>
    <mergeCell ref="E10:G10"/>
    <mergeCell ref="I10:K10"/>
    <mergeCell ref="M10:N10"/>
    <mergeCell ref="P10:R10"/>
    <mergeCell ref="T10:U10"/>
    <mergeCell ref="W10:Y10"/>
  </mergeCells>
  <pageMargins left="0.7" right="0.7" top="0.75" bottom="0.75" header="0.3" footer="0.3"/>
  <pageSetup scale="33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B7EC-C1B3-438B-AC85-9C0501202E46}">
  <sheetPr>
    <tabColor theme="9"/>
  </sheetPr>
  <dimension ref="A1:AR122"/>
  <sheetViews>
    <sheetView zoomScale="70" zoomScaleNormal="70" workbookViewId="0">
      <pane xSplit="4" ySplit="12" topLeftCell="E19" activePane="bottomRight" state="frozen"/>
      <selection activeCell="B1" sqref="B1"/>
      <selection pane="topRight" activeCell="B1" sqref="B1"/>
      <selection pane="bottomLeft" activeCell="B1" sqref="B1"/>
      <selection pane="bottomRight" activeCell="AA74" sqref="AA74"/>
    </sheetView>
  </sheetViews>
  <sheetFormatPr defaultColWidth="8.7265625" defaultRowHeight="14" x14ac:dyDescent="0.3"/>
  <cols>
    <col min="1" max="1" width="4.1796875" style="2" customWidth="1"/>
    <col min="2" max="2" width="12.81640625" style="2" customWidth="1"/>
    <col min="3" max="3" width="15.54296875" style="2" customWidth="1"/>
    <col min="4" max="4" width="16.26953125" style="2" bestFit="1" customWidth="1"/>
    <col min="5" max="5" width="9" style="2" customWidth="1"/>
    <col min="6" max="6" width="11.54296875" style="2" customWidth="1"/>
    <col min="7" max="7" width="1.54296875" style="2" customWidth="1"/>
    <col min="8" max="8" width="15" style="2" bestFit="1" customWidth="1"/>
    <col min="9" max="9" width="1.54296875" style="2" customWidth="1"/>
    <col min="10" max="10" width="8.7265625" style="2" bestFit="1" customWidth="1"/>
    <col min="11" max="11" width="8" style="2" bestFit="1" customWidth="1"/>
    <col min="12" max="12" width="11.54296875" style="2" bestFit="1" customWidth="1"/>
    <col min="13" max="13" width="1.54296875" style="2" customWidth="1"/>
    <col min="14" max="14" width="14.26953125" style="2" bestFit="1" customWidth="1"/>
    <col min="15" max="15" width="12.26953125" style="2" bestFit="1" customWidth="1"/>
    <col min="16" max="16" width="10.36328125" style="2" customWidth="1"/>
    <col min="17" max="17" width="1.54296875" style="2" customWidth="1"/>
    <col min="18" max="18" width="14.26953125" style="2" bestFit="1" customWidth="1"/>
    <col min="19" max="20" width="12.1796875" style="2" customWidth="1"/>
    <col min="21" max="21" width="1.6328125" style="2" customWidth="1"/>
    <col min="22" max="22" width="8.7265625" style="2"/>
    <col min="23" max="23" width="10.08984375" style="2" bestFit="1" customWidth="1"/>
    <col min="24" max="24" width="12.54296875" style="2" bestFit="1" customWidth="1"/>
    <col min="25" max="25" width="1.6328125" style="2" customWidth="1"/>
    <col min="26" max="26" width="14.453125" style="2" bestFit="1" customWidth="1"/>
    <col min="27" max="27" width="13.1796875" style="2" bestFit="1" customWidth="1"/>
    <col min="28" max="28" width="11.08984375" style="2" customWidth="1"/>
    <col min="29" max="29" width="1.6328125" style="2" customWidth="1"/>
    <col min="30" max="30" width="14.453125" style="2" bestFit="1" customWidth="1"/>
    <col min="31" max="31" width="13.1796875" style="2" bestFit="1" customWidth="1"/>
    <col min="32" max="32" width="9.81640625" style="2" customWidth="1"/>
    <col min="33" max="33" width="1.6328125" style="2" customWidth="1"/>
    <col min="34" max="34" width="8.7265625" style="2"/>
    <col min="35" max="35" width="9.08984375" style="2" bestFit="1" customWidth="1"/>
    <col min="36" max="36" width="14.6328125" style="2" bestFit="1" customWidth="1"/>
    <col min="37" max="37" width="1.6328125" style="2" customWidth="1"/>
    <col min="38" max="38" width="13.7265625" style="2" bestFit="1" customWidth="1"/>
    <col min="39" max="39" width="13.6328125" style="2" bestFit="1" customWidth="1"/>
    <col min="40" max="40" width="9.36328125" style="2" bestFit="1" customWidth="1"/>
    <col min="41" max="41" width="1.6328125" style="2" customWidth="1"/>
    <col min="42" max="43" width="13.7265625" style="2" bestFit="1" customWidth="1"/>
    <col min="44" max="44" width="9.81640625" style="2" customWidth="1"/>
    <col min="45" max="16384" width="8.7265625" style="2"/>
  </cols>
  <sheetData>
    <row r="1" spans="1:44" x14ac:dyDescent="0.3">
      <c r="A1" s="1">
        <v>1</v>
      </c>
    </row>
    <row r="2" spans="1:44" x14ac:dyDescent="0.3">
      <c r="A2" s="1">
        <f>A1+1</f>
        <v>2</v>
      </c>
    </row>
    <row r="3" spans="1:44" x14ac:dyDescent="0.3">
      <c r="A3" s="1">
        <f t="shared" ref="A3:A66" si="0">A2+1</f>
        <v>3</v>
      </c>
    </row>
    <row r="4" spans="1:44" x14ac:dyDescent="0.3">
      <c r="A4" s="1">
        <f t="shared" si="0"/>
        <v>4</v>
      </c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44" x14ac:dyDescent="0.3">
      <c r="A5" s="1">
        <f t="shared" si="0"/>
        <v>5</v>
      </c>
      <c r="B5" s="3" t="s">
        <v>219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44" x14ac:dyDescent="0.3">
      <c r="A6" s="1">
        <f t="shared" si="0"/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44" x14ac:dyDescent="0.3">
      <c r="A7" s="1">
        <f t="shared" si="0"/>
        <v>7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</row>
    <row r="8" spans="1:44" ht="15.5" x14ac:dyDescent="0.35">
      <c r="A8" s="1">
        <f t="shared" si="0"/>
        <v>8</v>
      </c>
      <c r="E8" s="238" t="s">
        <v>220</v>
      </c>
      <c r="F8" s="238"/>
      <c r="G8" s="238"/>
      <c r="H8" s="238"/>
      <c r="J8" s="238" t="s">
        <v>221</v>
      </c>
      <c r="K8" s="238"/>
      <c r="L8" s="238"/>
      <c r="M8" s="238"/>
      <c r="N8" s="238"/>
      <c r="O8" s="238"/>
      <c r="P8" s="238"/>
      <c r="Q8" s="238"/>
      <c r="R8" s="238"/>
      <c r="S8" s="238"/>
      <c r="T8" s="238"/>
      <c r="V8" s="238" t="s">
        <v>222</v>
      </c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H8" s="238" t="s">
        <v>223</v>
      </c>
      <c r="AI8" s="238"/>
      <c r="AJ8" s="238"/>
      <c r="AK8" s="238"/>
      <c r="AL8" s="238"/>
      <c r="AM8" s="238"/>
      <c r="AN8" s="238"/>
      <c r="AO8" s="238"/>
      <c r="AP8" s="238"/>
      <c r="AQ8" s="238"/>
      <c r="AR8" s="238"/>
    </row>
    <row r="9" spans="1:44" x14ac:dyDescent="0.3">
      <c r="A9" s="1">
        <f t="shared" si="0"/>
        <v>9</v>
      </c>
      <c r="E9" s="5">
        <v>2024</v>
      </c>
      <c r="F9" s="5"/>
      <c r="G9" s="5"/>
      <c r="H9" s="5"/>
      <c r="N9" s="5">
        <v>2025</v>
      </c>
      <c r="O9" s="5"/>
      <c r="P9" s="5"/>
      <c r="R9" s="5">
        <v>2027</v>
      </c>
      <c r="S9" s="5"/>
      <c r="T9" s="5"/>
      <c r="Z9" s="5">
        <v>2025</v>
      </c>
      <c r="AA9" s="5"/>
      <c r="AB9" s="5"/>
      <c r="AD9" s="5">
        <v>2027</v>
      </c>
      <c r="AE9" s="5"/>
      <c r="AF9" s="5"/>
      <c r="AL9" s="5">
        <v>2025</v>
      </c>
      <c r="AM9" s="5"/>
      <c r="AN9" s="5"/>
      <c r="AP9" s="5">
        <v>2027</v>
      </c>
      <c r="AQ9" s="5"/>
      <c r="AR9" s="5"/>
    </row>
    <row r="10" spans="1:44" x14ac:dyDescent="0.3">
      <c r="A10" s="1">
        <f t="shared" si="0"/>
        <v>10</v>
      </c>
    </row>
    <row r="11" spans="1:44" x14ac:dyDescent="0.3">
      <c r="A11" s="1">
        <f t="shared" si="0"/>
        <v>11</v>
      </c>
      <c r="E11" s="6" t="s">
        <v>2</v>
      </c>
      <c r="F11" s="6"/>
      <c r="G11" s="7"/>
      <c r="H11" s="1"/>
      <c r="O11" s="5" t="s">
        <v>224</v>
      </c>
      <c r="P11" s="5"/>
      <c r="S11" s="5" t="str">
        <f>+O11</f>
        <v>Change from 2024 Bill</v>
      </c>
      <c r="T11" s="5"/>
      <c r="AA11" s="5" t="s">
        <v>224</v>
      </c>
      <c r="AB11" s="5"/>
      <c r="AE11" s="5" t="str">
        <f>+AA11</f>
        <v>Change from 2024 Bill</v>
      </c>
      <c r="AF11" s="5"/>
      <c r="AM11" s="5" t="s">
        <v>224</v>
      </c>
      <c r="AN11" s="5"/>
      <c r="AQ11" s="5" t="str">
        <f>+AM11</f>
        <v>Change from 2024 Bill</v>
      </c>
      <c r="AR11" s="5"/>
    </row>
    <row r="12" spans="1:44" x14ac:dyDescent="0.3">
      <c r="A12" s="1">
        <f t="shared" si="0"/>
        <v>12</v>
      </c>
      <c r="B12" s="8" t="s">
        <v>7</v>
      </c>
      <c r="C12" s="8" t="s">
        <v>8</v>
      </c>
      <c r="D12" s="9" t="s">
        <v>9</v>
      </c>
      <c r="E12" s="10" t="s">
        <v>10</v>
      </c>
      <c r="F12" s="11" t="s">
        <v>11</v>
      </c>
      <c r="H12" s="12" t="s">
        <v>12</v>
      </c>
      <c r="I12" s="12"/>
      <c r="J12" s="10" t="s">
        <v>225</v>
      </c>
      <c r="K12" s="10" t="str">
        <f>+E12</f>
        <v>kW/kVA</v>
      </c>
      <c r="L12" s="10" t="str">
        <f>+F12</f>
        <v>kWh</v>
      </c>
      <c r="M12" s="12"/>
      <c r="N12" s="12" t="str">
        <f>+H12</f>
        <v>Total Bill</v>
      </c>
      <c r="O12" s="12" t="s">
        <v>13</v>
      </c>
      <c r="P12" s="12" t="s">
        <v>14</v>
      </c>
      <c r="Q12" s="12"/>
      <c r="R12" s="12" t="str">
        <f>+N12</f>
        <v>Total Bill</v>
      </c>
      <c r="S12" s="12" t="s">
        <v>13</v>
      </c>
      <c r="T12" s="12" t="s">
        <v>14</v>
      </c>
      <c r="V12" s="10" t="str">
        <f>+J12</f>
        <v>Savings</v>
      </c>
      <c r="W12" s="10" t="str">
        <f t="shared" ref="W12:X12" si="1">+K12</f>
        <v>kW/kVA</v>
      </c>
      <c r="X12" s="10" t="str">
        <f t="shared" si="1"/>
        <v>kWh</v>
      </c>
      <c r="Y12" s="12"/>
      <c r="Z12" s="12" t="str">
        <f>+N12</f>
        <v>Total Bill</v>
      </c>
      <c r="AA12" s="12" t="str">
        <f t="shared" ref="AA12:AB12" si="2">+O12</f>
        <v>$ Change</v>
      </c>
      <c r="AB12" s="12" t="str">
        <f t="shared" si="2"/>
        <v>% Change</v>
      </c>
      <c r="AC12" s="12"/>
      <c r="AD12" s="12" t="str">
        <f>+R12</f>
        <v>Total Bill</v>
      </c>
      <c r="AE12" s="12" t="str">
        <f t="shared" ref="AE12:AF12" si="3">+S12</f>
        <v>$ Change</v>
      </c>
      <c r="AF12" s="12" t="str">
        <f t="shared" si="3"/>
        <v>% Change</v>
      </c>
      <c r="AH12" s="10" t="str">
        <f>+V12</f>
        <v>Savings</v>
      </c>
      <c r="AI12" s="10" t="str">
        <f t="shared" ref="AI12:AJ12" si="4">+W12</f>
        <v>kW/kVA</v>
      </c>
      <c r="AJ12" s="10" t="str">
        <f t="shared" si="4"/>
        <v>kWh</v>
      </c>
      <c r="AK12" s="12"/>
      <c r="AL12" s="12" t="str">
        <f>+Z12</f>
        <v>Total Bill</v>
      </c>
      <c r="AM12" s="12" t="str">
        <f t="shared" ref="AM12:AN12" si="5">+AA12</f>
        <v>$ Change</v>
      </c>
      <c r="AN12" s="12" t="str">
        <f t="shared" si="5"/>
        <v>% Change</v>
      </c>
      <c r="AO12" s="12"/>
      <c r="AP12" s="12" t="str">
        <f>+AD12</f>
        <v>Total Bill</v>
      </c>
      <c r="AQ12" s="12" t="str">
        <f t="shared" ref="AQ12:AR12" si="6">+AE12</f>
        <v>$ Change</v>
      </c>
      <c r="AR12" s="12" t="str">
        <f t="shared" si="6"/>
        <v>% Change</v>
      </c>
    </row>
    <row r="13" spans="1:44" x14ac:dyDescent="0.3">
      <c r="A13" s="1">
        <f t="shared" si="0"/>
        <v>13</v>
      </c>
      <c r="B13" s="13" t="s">
        <v>15</v>
      </c>
      <c r="C13" s="13" t="s">
        <v>15</v>
      </c>
      <c r="D13" s="2" t="s">
        <v>16</v>
      </c>
      <c r="F13" s="14">
        <v>530</v>
      </c>
      <c r="G13" s="14">
        <v>530</v>
      </c>
      <c r="H13" s="19">
        <v>186.67000000000002</v>
      </c>
      <c r="I13" s="19"/>
      <c r="J13" s="185">
        <v>0.3</v>
      </c>
      <c r="K13" s="14"/>
      <c r="L13" s="14">
        <f>F13*(1-J13)</f>
        <v>371</v>
      </c>
      <c r="M13" s="19"/>
      <c r="N13" s="16">
        <v>187.59</v>
      </c>
      <c r="O13" s="17">
        <f>+N13-H13</f>
        <v>0.91999999999998749</v>
      </c>
      <c r="P13" s="18">
        <f>+O13/H13</f>
        <v>4.9284834199388623E-3</v>
      </c>
      <c r="Q13" s="19"/>
      <c r="R13" s="16">
        <v>191.12</v>
      </c>
      <c r="S13" s="17">
        <f>+R13-H13</f>
        <v>4.4499999999999886</v>
      </c>
      <c r="T13" s="20">
        <f>+S13/H13</f>
        <v>2.3838860020356716E-2</v>
      </c>
      <c r="V13" s="239">
        <v>0.3</v>
      </c>
      <c r="W13" s="240">
        <v>0</v>
      </c>
      <c r="X13" s="241">
        <f>F13*(1-V13)</f>
        <v>371</v>
      </c>
      <c r="Z13" s="17">
        <v>173.09</v>
      </c>
      <c r="AA13" s="17">
        <f>Z13-H13</f>
        <v>-13.580000000000013</v>
      </c>
      <c r="AB13" s="20">
        <f>AA13/H13</f>
        <v>-7.2748700916055134E-2</v>
      </c>
      <c r="AD13" s="17">
        <v>176.32999999999998</v>
      </c>
      <c r="AE13" s="17">
        <f>AD13-H13</f>
        <v>-10.340000000000032</v>
      </c>
      <c r="AF13" s="20">
        <f>AE13/H13</f>
        <v>-5.5391868002357264E-2</v>
      </c>
      <c r="AH13" s="239">
        <v>0.3</v>
      </c>
      <c r="AI13" s="240">
        <v>0</v>
      </c>
      <c r="AJ13" s="240">
        <f>F13*(1-AH13)</f>
        <v>371</v>
      </c>
      <c r="AL13" s="17">
        <v>136.84</v>
      </c>
      <c r="AM13" s="17">
        <f>AL13-H13</f>
        <v>-49.830000000000013</v>
      </c>
      <c r="AN13" s="20">
        <f>AM13/H13</f>
        <v>-0.26694166175604012</v>
      </c>
      <c r="AP13" s="17">
        <v>139.35999999999999</v>
      </c>
      <c r="AQ13" s="17">
        <f>AP13-H13</f>
        <v>-47.310000000000031</v>
      </c>
      <c r="AR13" s="20">
        <f>AQ13/H13</f>
        <v>-0.25344190282316403</v>
      </c>
    </row>
    <row r="14" spans="1:44" x14ac:dyDescent="0.3">
      <c r="A14" s="1">
        <f t="shared" si="0"/>
        <v>14</v>
      </c>
      <c r="B14" s="13" t="s">
        <v>17</v>
      </c>
      <c r="C14" s="13" t="s">
        <v>17</v>
      </c>
      <c r="D14" s="2" t="s">
        <v>16</v>
      </c>
      <c r="F14" s="14">
        <v>545</v>
      </c>
      <c r="H14" s="19">
        <v>182.14</v>
      </c>
      <c r="I14" s="19"/>
      <c r="J14" s="185">
        <v>0.3</v>
      </c>
      <c r="K14" s="19"/>
      <c r="L14" s="14">
        <f>F14*(1-J14)</f>
        <v>381.5</v>
      </c>
      <c r="M14" s="19"/>
      <c r="N14" s="16">
        <v>183.28</v>
      </c>
      <c r="O14" s="17">
        <f>+N14-H14</f>
        <v>1.1400000000000148</v>
      </c>
      <c r="P14" s="18">
        <f>+O14/H14</f>
        <v>6.2589217085759026E-3</v>
      </c>
      <c r="Q14" s="19"/>
      <c r="R14" s="16">
        <v>186.9</v>
      </c>
      <c r="S14" s="17">
        <f t="shared" ref="S14:S77" si="7">+R14-H14</f>
        <v>4.7600000000000193</v>
      </c>
      <c r="T14" s="20">
        <f>+S14/H14</f>
        <v>2.6133743274404413E-2</v>
      </c>
      <c r="V14" s="239">
        <v>0.3</v>
      </c>
      <c r="W14" s="240">
        <v>0</v>
      </c>
      <c r="X14" s="240">
        <f>F14*(1-V14)</f>
        <v>381.5</v>
      </c>
      <c r="Z14" s="17">
        <v>169.13</v>
      </c>
      <c r="AA14" s="17">
        <f t="shared" ref="AA14:AA77" si="8">Z14-H14</f>
        <v>-13.009999999999991</v>
      </c>
      <c r="AB14" s="20">
        <f t="shared" ref="AB14:AB77" si="9">AA14/H14</f>
        <v>-7.1428571428571383E-2</v>
      </c>
      <c r="AD14" s="17">
        <v>172.46</v>
      </c>
      <c r="AE14" s="17">
        <f t="shared" ref="AE14:AE77" si="10">AD14-H14</f>
        <v>-9.6799999999999784</v>
      </c>
      <c r="AF14" s="20">
        <f t="shared" ref="AF14:AF77" si="11">AE14/H14</f>
        <v>-5.3145931700889312E-2</v>
      </c>
      <c r="AH14" s="239">
        <v>0.3</v>
      </c>
      <c r="AI14" s="240">
        <v>0</v>
      </c>
      <c r="AJ14" s="240">
        <f t="shared" ref="AJ14:AJ77" si="12">F14*(1-AH14)</f>
        <v>381.5</v>
      </c>
      <c r="AL14" s="17">
        <v>133.76999999999998</v>
      </c>
      <c r="AM14" s="17">
        <f t="shared" ref="AM14:AM77" si="13">AL14-H14</f>
        <v>-48.370000000000005</v>
      </c>
      <c r="AN14" s="20">
        <f t="shared" ref="AN14:AN77" si="14">AM14/H14</f>
        <v>-0.265564950038432</v>
      </c>
      <c r="AP14" s="17">
        <v>136.36000000000001</v>
      </c>
      <c r="AQ14" s="17">
        <f t="shared" ref="AQ14:AQ77" si="15">AP14-H14</f>
        <v>-45.779999999999973</v>
      </c>
      <c r="AR14" s="20">
        <f t="shared" ref="AR14:AR77" si="16">AQ14/H14</f>
        <v>-0.25134511913912361</v>
      </c>
    </row>
    <row r="15" spans="1:44" x14ac:dyDescent="0.3">
      <c r="A15" s="1">
        <f t="shared" si="0"/>
        <v>15</v>
      </c>
      <c r="F15" s="14"/>
      <c r="H15" s="19"/>
      <c r="I15" s="19"/>
      <c r="J15" s="185"/>
      <c r="K15" s="19"/>
      <c r="L15" s="14"/>
      <c r="M15" s="19"/>
      <c r="N15" s="16"/>
      <c r="O15" s="17"/>
      <c r="P15" s="18"/>
      <c r="Q15" s="19"/>
      <c r="R15" s="16"/>
      <c r="S15" s="17"/>
      <c r="T15" s="20"/>
      <c r="V15" s="239"/>
      <c r="W15" s="240"/>
      <c r="X15" s="240"/>
      <c r="Z15" s="17"/>
      <c r="AA15" s="17"/>
      <c r="AB15" s="20"/>
      <c r="AD15" s="17"/>
      <c r="AE15" s="17"/>
      <c r="AF15" s="20"/>
      <c r="AH15" s="239"/>
      <c r="AI15" s="240"/>
      <c r="AJ15" s="240"/>
      <c r="AL15" s="17"/>
      <c r="AM15" s="17"/>
      <c r="AN15" s="20"/>
      <c r="AP15" s="17"/>
      <c r="AQ15" s="17"/>
      <c r="AR15" s="20"/>
    </row>
    <row r="16" spans="1:44" x14ac:dyDescent="0.3">
      <c r="A16" s="1">
        <f t="shared" si="0"/>
        <v>16</v>
      </c>
      <c r="B16" s="13" t="s">
        <v>15</v>
      </c>
      <c r="C16" s="13" t="s">
        <v>15</v>
      </c>
      <c r="D16" s="2" t="s">
        <v>18</v>
      </c>
      <c r="F16" s="14">
        <v>475</v>
      </c>
      <c r="H16" s="19">
        <v>97.63</v>
      </c>
      <c r="I16" s="19"/>
      <c r="J16" s="185">
        <v>0.25</v>
      </c>
      <c r="K16" s="19"/>
      <c r="L16" s="14">
        <f t="shared" ref="L16:L78" si="17">F16*(1-J16)</f>
        <v>356.25</v>
      </c>
      <c r="M16" s="19"/>
      <c r="N16" s="16">
        <v>76.45</v>
      </c>
      <c r="O16" s="17">
        <f t="shared" ref="O16:O78" si="18">+N16-H16</f>
        <v>-21.179999999999993</v>
      </c>
      <c r="P16" s="18">
        <f t="shared" ref="P16:P78" si="19">+O16/H16</f>
        <v>-0.2169415138789306</v>
      </c>
      <c r="Q16" s="19"/>
      <c r="R16" s="16">
        <v>77.849999999999994</v>
      </c>
      <c r="S16" s="17">
        <f t="shared" si="7"/>
        <v>-19.78</v>
      </c>
      <c r="T16" s="20">
        <f t="shared" ref="T16:T78" si="20">+S16/H16</f>
        <v>-0.20260165932602686</v>
      </c>
      <c r="V16" s="239">
        <v>0.25</v>
      </c>
      <c r="W16" s="240">
        <v>0</v>
      </c>
      <c r="X16" s="240">
        <f t="shared" ref="X16:X78" si="21">F16*(1-V16)</f>
        <v>356.25</v>
      </c>
      <c r="Z16" s="17">
        <v>76.45</v>
      </c>
      <c r="AA16" s="17">
        <f t="shared" si="8"/>
        <v>-21.179999999999993</v>
      </c>
      <c r="AB16" s="20">
        <f t="shared" si="9"/>
        <v>-0.2169415138789306</v>
      </c>
      <c r="AD16" s="17">
        <v>77.849999999999994</v>
      </c>
      <c r="AE16" s="17">
        <f t="shared" si="10"/>
        <v>-19.78</v>
      </c>
      <c r="AF16" s="20">
        <f t="shared" si="11"/>
        <v>-0.20260165932602686</v>
      </c>
      <c r="AH16" s="239">
        <v>0.25</v>
      </c>
      <c r="AI16" s="240">
        <v>0</v>
      </c>
      <c r="AJ16" s="240">
        <f t="shared" si="12"/>
        <v>356.25</v>
      </c>
      <c r="AL16" s="17">
        <v>76.45</v>
      </c>
      <c r="AM16" s="17">
        <f t="shared" si="13"/>
        <v>-21.179999999999993</v>
      </c>
      <c r="AN16" s="20">
        <f t="shared" si="14"/>
        <v>-0.2169415138789306</v>
      </c>
      <c r="AP16" s="17">
        <v>77.849999999999994</v>
      </c>
      <c r="AQ16" s="17">
        <f t="shared" si="15"/>
        <v>-19.78</v>
      </c>
      <c r="AR16" s="20">
        <f t="shared" si="16"/>
        <v>-0.20260165932602686</v>
      </c>
    </row>
    <row r="17" spans="1:44" x14ac:dyDescent="0.3">
      <c r="A17" s="1">
        <f t="shared" si="0"/>
        <v>17</v>
      </c>
      <c r="B17" s="13" t="s">
        <v>17</v>
      </c>
      <c r="C17" s="13" t="s">
        <v>17</v>
      </c>
      <c r="D17" s="2" t="s">
        <v>18</v>
      </c>
      <c r="F17" s="14">
        <v>585</v>
      </c>
      <c r="H17" s="19">
        <v>112.97</v>
      </c>
      <c r="I17" s="19"/>
      <c r="J17" s="185">
        <v>0.25</v>
      </c>
      <c r="K17" s="19"/>
      <c r="L17" s="14">
        <f t="shared" si="17"/>
        <v>438.75</v>
      </c>
      <c r="M17" s="19"/>
      <c r="N17" s="16">
        <v>88.36</v>
      </c>
      <c r="O17" s="17">
        <f t="shared" si="18"/>
        <v>-24.61</v>
      </c>
      <c r="P17" s="18">
        <f t="shared" si="19"/>
        <v>-0.21784544569354697</v>
      </c>
      <c r="Q17" s="19"/>
      <c r="R17" s="16">
        <v>90.09</v>
      </c>
      <c r="S17" s="17">
        <f t="shared" si="7"/>
        <v>-22.879999999999995</v>
      </c>
      <c r="T17" s="20">
        <f t="shared" si="20"/>
        <v>-0.20253164556962022</v>
      </c>
      <c r="V17" s="239">
        <v>0.25</v>
      </c>
      <c r="W17" s="240">
        <v>0</v>
      </c>
      <c r="X17" s="240">
        <f t="shared" si="21"/>
        <v>438.75</v>
      </c>
      <c r="Z17" s="17">
        <v>88.36</v>
      </c>
      <c r="AA17" s="17">
        <f t="shared" si="8"/>
        <v>-24.61</v>
      </c>
      <c r="AB17" s="20">
        <f t="shared" si="9"/>
        <v>-0.21784544569354697</v>
      </c>
      <c r="AD17" s="17">
        <v>90.09</v>
      </c>
      <c r="AE17" s="17">
        <f t="shared" si="10"/>
        <v>-22.879999999999995</v>
      </c>
      <c r="AF17" s="20">
        <f t="shared" si="11"/>
        <v>-0.20253164556962022</v>
      </c>
      <c r="AH17" s="239">
        <v>0.25</v>
      </c>
      <c r="AI17" s="240">
        <v>0</v>
      </c>
      <c r="AJ17" s="240">
        <f t="shared" si="12"/>
        <v>438.75</v>
      </c>
      <c r="AL17" s="17">
        <v>88.36</v>
      </c>
      <c r="AM17" s="17">
        <f t="shared" si="13"/>
        <v>-24.61</v>
      </c>
      <c r="AN17" s="20">
        <f t="shared" si="14"/>
        <v>-0.21784544569354697</v>
      </c>
      <c r="AP17" s="17">
        <v>90.09</v>
      </c>
      <c r="AQ17" s="17">
        <f t="shared" si="15"/>
        <v>-22.879999999999995</v>
      </c>
      <c r="AR17" s="20">
        <f t="shared" si="16"/>
        <v>-0.20253164556962022</v>
      </c>
    </row>
    <row r="18" spans="1:44" x14ac:dyDescent="0.3">
      <c r="A18" s="1">
        <f t="shared" si="0"/>
        <v>18</v>
      </c>
      <c r="B18" s="13"/>
      <c r="C18" s="13"/>
      <c r="F18" s="14"/>
      <c r="H18" s="19"/>
      <c r="I18" s="19"/>
      <c r="J18" s="185"/>
      <c r="K18" s="19"/>
      <c r="L18" s="14"/>
      <c r="M18" s="19"/>
      <c r="N18" s="16"/>
      <c r="O18" s="17"/>
      <c r="P18" s="18"/>
      <c r="Q18" s="19"/>
      <c r="R18" s="16"/>
      <c r="S18" s="17"/>
      <c r="T18" s="20"/>
      <c r="V18" s="239"/>
      <c r="W18" s="240"/>
      <c r="X18" s="240"/>
      <c r="Z18" s="17"/>
      <c r="AA18" s="17"/>
      <c r="AB18" s="20"/>
      <c r="AD18" s="17"/>
      <c r="AE18" s="17"/>
      <c r="AF18" s="20"/>
      <c r="AH18" s="239"/>
      <c r="AI18" s="240"/>
      <c r="AJ18" s="240"/>
      <c r="AL18" s="17"/>
      <c r="AM18" s="17"/>
      <c r="AN18" s="20"/>
      <c r="AP18" s="17"/>
      <c r="AQ18" s="17"/>
      <c r="AR18" s="20"/>
    </row>
    <row r="19" spans="1:44" x14ac:dyDescent="0.3">
      <c r="A19" s="1">
        <f t="shared" si="0"/>
        <v>19</v>
      </c>
      <c r="B19" s="13" t="s">
        <v>15</v>
      </c>
      <c r="C19" s="13" t="s">
        <v>15</v>
      </c>
      <c r="D19" s="2" t="s">
        <v>19</v>
      </c>
      <c r="F19" s="14">
        <v>745</v>
      </c>
      <c r="H19" s="19">
        <v>253.76999999999998</v>
      </c>
      <c r="I19" s="19"/>
      <c r="J19" s="185">
        <v>0.3</v>
      </c>
      <c r="K19" s="19"/>
      <c r="L19" s="14">
        <f t="shared" si="17"/>
        <v>521.5</v>
      </c>
      <c r="M19" s="19"/>
      <c r="N19" s="16">
        <v>255.15</v>
      </c>
      <c r="O19" s="17">
        <f t="shared" si="18"/>
        <v>1.3800000000000239</v>
      </c>
      <c r="P19" s="18">
        <f t="shared" si="19"/>
        <v>5.4379950348741931E-3</v>
      </c>
      <c r="Q19" s="19"/>
      <c r="R19" s="16">
        <v>260.11</v>
      </c>
      <c r="S19" s="17">
        <f t="shared" si="7"/>
        <v>6.3400000000000318</v>
      </c>
      <c r="T19" s="20">
        <f t="shared" si="20"/>
        <v>2.4983252551523161E-2</v>
      </c>
      <c r="V19" s="239">
        <v>0.3</v>
      </c>
      <c r="W19" s="240">
        <v>0</v>
      </c>
      <c r="X19" s="240">
        <f t="shared" si="21"/>
        <v>521.5</v>
      </c>
      <c r="Z19" s="17">
        <v>235.14</v>
      </c>
      <c r="AA19" s="17">
        <f t="shared" si="8"/>
        <v>-18.629999999999995</v>
      </c>
      <c r="AB19" s="20">
        <f t="shared" si="9"/>
        <v>-7.3412932970800315E-2</v>
      </c>
      <c r="AD19" s="17">
        <v>239.69</v>
      </c>
      <c r="AE19" s="17">
        <f t="shared" si="10"/>
        <v>-14.079999999999984</v>
      </c>
      <c r="AF19" s="20">
        <f t="shared" si="11"/>
        <v>-5.5483311660164659E-2</v>
      </c>
      <c r="AH19" s="239">
        <v>0.3</v>
      </c>
      <c r="AI19" s="240">
        <v>0</v>
      </c>
      <c r="AJ19" s="240">
        <f t="shared" si="12"/>
        <v>521.5</v>
      </c>
      <c r="AL19" s="17">
        <v>185.11</v>
      </c>
      <c r="AM19" s="17">
        <f t="shared" si="13"/>
        <v>-68.659999999999968</v>
      </c>
      <c r="AN19" s="20">
        <f t="shared" si="14"/>
        <v>-0.27055995586554743</v>
      </c>
      <c r="AP19" s="17">
        <v>188.65</v>
      </c>
      <c r="AQ19" s="17">
        <f t="shared" si="15"/>
        <v>-65.119999999999976</v>
      </c>
      <c r="AR19" s="20">
        <f t="shared" si="16"/>
        <v>-0.25661031642826171</v>
      </c>
    </row>
    <row r="20" spans="1:44" x14ac:dyDescent="0.3">
      <c r="A20" s="1">
        <f t="shared" si="0"/>
        <v>20</v>
      </c>
      <c r="B20" s="13" t="s">
        <v>17</v>
      </c>
      <c r="C20" s="13" t="s">
        <v>17</v>
      </c>
      <c r="D20" s="2" t="s">
        <v>19</v>
      </c>
      <c r="F20" s="14">
        <v>805</v>
      </c>
      <c r="H20" s="19">
        <v>259.33</v>
      </c>
      <c r="I20" s="19"/>
      <c r="J20" s="185">
        <v>0.3</v>
      </c>
      <c r="K20" s="19"/>
      <c r="L20" s="14">
        <f t="shared" si="17"/>
        <v>563.5</v>
      </c>
      <c r="M20" s="19"/>
      <c r="N20" s="16">
        <v>261.10000000000002</v>
      </c>
      <c r="O20" s="17">
        <f t="shared" si="18"/>
        <v>1.7700000000000387</v>
      </c>
      <c r="P20" s="18">
        <f t="shared" si="19"/>
        <v>6.825280530598229E-3</v>
      </c>
      <c r="Q20" s="19"/>
      <c r="R20" s="16">
        <v>266.46000000000004</v>
      </c>
      <c r="S20" s="17">
        <f t="shared" si="7"/>
        <v>7.1300000000000523</v>
      </c>
      <c r="T20" s="20">
        <f t="shared" si="20"/>
        <v>2.7493926657155179E-2</v>
      </c>
      <c r="V20" s="239">
        <v>0.3</v>
      </c>
      <c r="W20" s="240">
        <v>0</v>
      </c>
      <c r="X20" s="240">
        <f t="shared" si="21"/>
        <v>563.5</v>
      </c>
      <c r="Z20" s="17">
        <v>240.6</v>
      </c>
      <c r="AA20" s="17">
        <f t="shared" si="8"/>
        <v>-18.72999999999999</v>
      </c>
      <c r="AB20" s="20">
        <f t="shared" si="9"/>
        <v>-7.2224578722091509E-2</v>
      </c>
      <c r="AD20" s="17">
        <v>245.51999999999998</v>
      </c>
      <c r="AE20" s="17">
        <f t="shared" si="10"/>
        <v>-13.810000000000002</v>
      </c>
      <c r="AF20" s="20">
        <f t="shared" si="11"/>
        <v>-5.3252612501446049E-2</v>
      </c>
      <c r="AH20" s="239">
        <v>0.3</v>
      </c>
      <c r="AI20" s="240">
        <v>0</v>
      </c>
      <c r="AJ20" s="240">
        <f t="shared" si="12"/>
        <v>563.5</v>
      </c>
      <c r="AL20" s="17">
        <v>189.36</v>
      </c>
      <c r="AM20" s="17">
        <f t="shared" si="13"/>
        <v>-69.96999999999997</v>
      </c>
      <c r="AN20" s="20">
        <f t="shared" si="14"/>
        <v>-0.26981066594686298</v>
      </c>
      <c r="AP20" s="17">
        <v>193.18</v>
      </c>
      <c r="AQ20" s="17">
        <f t="shared" si="15"/>
        <v>-66.149999999999977</v>
      </c>
      <c r="AR20" s="20">
        <f t="shared" si="16"/>
        <v>-0.25508039949099598</v>
      </c>
    </row>
    <row r="21" spans="1:44" x14ac:dyDescent="0.3">
      <c r="A21" s="1">
        <f t="shared" si="0"/>
        <v>21</v>
      </c>
      <c r="B21" s="13"/>
      <c r="C21" s="13"/>
      <c r="F21" s="14"/>
      <c r="H21" s="19"/>
      <c r="I21" s="19"/>
      <c r="J21" s="185"/>
      <c r="K21" s="19"/>
      <c r="L21" s="14"/>
      <c r="M21" s="19"/>
      <c r="N21" s="16"/>
      <c r="O21" s="17"/>
      <c r="P21" s="18"/>
      <c r="Q21" s="19"/>
      <c r="R21" s="16"/>
      <c r="S21" s="17"/>
      <c r="T21" s="20"/>
      <c r="V21" s="239"/>
      <c r="W21" s="240"/>
      <c r="X21" s="240"/>
      <c r="Z21" s="17"/>
      <c r="AA21" s="17"/>
      <c r="AB21" s="20"/>
      <c r="AD21" s="17"/>
      <c r="AE21" s="17"/>
      <c r="AF21" s="20"/>
      <c r="AH21" s="239"/>
      <c r="AI21" s="240"/>
      <c r="AJ21" s="240"/>
      <c r="AL21" s="17"/>
      <c r="AM21" s="17"/>
      <c r="AN21" s="20"/>
      <c r="AP21" s="17"/>
      <c r="AQ21" s="17"/>
      <c r="AR21" s="20"/>
    </row>
    <row r="22" spans="1:44" x14ac:dyDescent="0.3">
      <c r="A22" s="1">
        <f t="shared" si="0"/>
        <v>22</v>
      </c>
      <c r="B22" s="13" t="s">
        <v>15</v>
      </c>
      <c r="C22" s="13" t="s">
        <v>15</v>
      </c>
      <c r="D22" s="2" t="s">
        <v>20</v>
      </c>
      <c r="F22" s="14">
        <v>830</v>
      </c>
      <c r="H22" s="19">
        <v>163.32</v>
      </c>
      <c r="I22" s="19"/>
      <c r="J22" s="185">
        <v>0.25</v>
      </c>
      <c r="K22" s="19"/>
      <c r="L22" s="14">
        <f t="shared" si="17"/>
        <v>622.5</v>
      </c>
      <c r="M22" s="19"/>
      <c r="N22" s="16">
        <v>127.03</v>
      </c>
      <c r="O22" s="17">
        <f t="shared" si="18"/>
        <v>-36.289999999999992</v>
      </c>
      <c r="P22" s="18">
        <f t="shared" si="19"/>
        <v>-0.22220181239284836</v>
      </c>
      <c r="Q22" s="19"/>
      <c r="R22" s="16">
        <v>129.48000000000002</v>
      </c>
      <c r="S22" s="17">
        <f t="shared" si="7"/>
        <v>-33.839999999999975</v>
      </c>
      <c r="T22" s="20">
        <f t="shared" si="20"/>
        <v>-0.20720058780308581</v>
      </c>
      <c r="V22" s="239">
        <v>0.25</v>
      </c>
      <c r="W22" s="240">
        <v>0</v>
      </c>
      <c r="X22" s="240">
        <f t="shared" si="21"/>
        <v>622.5</v>
      </c>
      <c r="Z22" s="17">
        <v>127.03</v>
      </c>
      <c r="AA22" s="17">
        <f t="shared" si="8"/>
        <v>-36.289999999999992</v>
      </c>
      <c r="AB22" s="20">
        <f t="shared" si="9"/>
        <v>-0.22220181239284836</v>
      </c>
      <c r="AD22" s="17">
        <v>129.48000000000002</v>
      </c>
      <c r="AE22" s="17">
        <f t="shared" si="10"/>
        <v>-33.839999999999975</v>
      </c>
      <c r="AF22" s="20">
        <f t="shared" si="11"/>
        <v>-0.20720058780308581</v>
      </c>
      <c r="AH22" s="239">
        <v>0.25</v>
      </c>
      <c r="AI22" s="240">
        <v>0</v>
      </c>
      <c r="AJ22" s="240">
        <f t="shared" si="12"/>
        <v>622.5</v>
      </c>
      <c r="AL22" s="17">
        <v>127.03</v>
      </c>
      <c r="AM22" s="17">
        <f t="shared" si="13"/>
        <v>-36.289999999999992</v>
      </c>
      <c r="AN22" s="20">
        <f t="shared" si="14"/>
        <v>-0.22220181239284836</v>
      </c>
      <c r="AP22" s="17">
        <v>129.48000000000002</v>
      </c>
      <c r="AQ22" s="17">
        <f t="shared" si="15"/>
        <v>-33.839999999999975</v>
      </c>
      <c r="AR22" s="20">
        <f t="shared" si="16"/>
        <v>-0.20720058780308581</v>
      </c>
    </row>
    <row r="23" spans="1:44" x14ac:dyDescent="0.3">
      <c r="A23" s="1">
        <f t="shared" si="0"/>
        <v>23</v>
      </c>
      <c r="B23" s="13" t="s">
        <v>17</v>
      </c>
      <c r="C23" s="13" t="s">
        <v>17</v>
      </c>
      <c r="D23" s="2" t="s">
        <v>20</v>
      </c>
      <c r="F23" s="14">
        <v>990</v>
      </c>
      <c r="H23" s="19">
        <v>183.64</v>
      </c>
      <c r="I23" s="19"/>
      <c r="J23" s="185">
        <v>0.25</v>
      </c>
      <c r="K23" s="19"/>
      <c r="L23" s="14">
        <f t="shared" si="17"/>
        <v>742.5</v>
      </c>
      <c r="M23" s="19"/>
      <c r="N23" s="16">
        <v>142.87</v>
      </c>
      <c r="O23" s="17">
        <f t="shared" si="18"/>
        <v>-40.769999999999982</v>
      </c>
      <c r="P23" s="18">
        <f t="shared" si="19"/>
        <v>-0.22201045523851004</v>
      </c>
      <c r="Q23" s="19"/>
      <c r="R23" s="16">
        <v>145.80000000000001</v>
      </c>
      <c r="S23" s="17">
        <f t="shared" si="7"/>
        <v>-37.839999999999975</v>
      </c>
      <c r="T23" s="20">
        <f t="shared" si="20"/>
        <v>-0.20605532563711598</v>
      </c>
      <c r="V23" s="239">
        <v>0.25</v>
      </c>
      <c r="W23" s="240">
        <v>0</v>
      </c>
      <c r="X23" s="240">
        <f t="shared" si="21"/>
        <v>742.5</v>
      </c>
      <c r="Z23" s="17">
        <v>142.87</v>
      </c>
      <c r="AA23" s="17">
        <f t="shared" si="8"/>
        <v>-40.769999999999982</v>
      </c>
      <c r="AB23" s="20">
        <f t="shared" si="9"/>
        <v>-0.22201045523851004</v>
      </c>
      <c r="AD23" s="17">
        <v>145.80000000000001</v>
      </c>
      <c r="AE23" s="17">
        <f t="shared" si="10"/>
        <v>-37.839999999999975</v>
      </c>
      <c r="AF23" s="20">
        <f t="shared" si="11"/>
        <v>-0.20605532563711598</v>
      </c>
      <c r="AH23" s="239">
        <v>0.25</v>
      </c>
      <c r="AI23" s="240">
        <v>0</v>
      </c>
      <c r="AJ23" s="240">
        <f t="shared" si="12"/>
        <v>742.5</v>
      </c>
      <c r="AL23" s="17">
        <v>142.87</v>
      </c>
      <c r="AM23" s="17">
        <f t="shared" si="13"/>
        <v>-40.769999999999982</v>
      </c>
      <c r="AN23" s="20">
        <f t="shared" si="14"/>
        <v>-0.22201045523851004</v>
      </c>
      <c r="AP23" s="17">
        <v>145.80000000000001</v>
      </c>
      <c r="AQ23" s="17">
        <f t="shared" si="15"/>
        <v>-37.839999999999975</v>
      </c>
      <c r="AR23" s="20">
        <f t="shared" si="16"/>
        <v>-0.20605532563711598</v>
      </c>
    </row>
    <row r="24" spans="1:44" x14ac:dyDescent="0.3">
      <c r="A24" s="1">
        <f t="shared" si="0"/>
        <v>24</v>
      </c>
      <c r="F24" s="14"/>
      <c r="H24" s="19"/>
      <c r="I24" s="16"/>
      <c r="J24" s="185"/>
      <c r="K24" s="16"/>
      <c r="L24" s="14"/>
      <c r="M24" s="16"/>
      <c r="N24" s="16"/>
      <c r="O24" s="17"/>
      <c r="P24" s="18"/>
      <c r="Q24" s="16"/>
      <c r="R24" s="16"/>
      <c r="S24" s="17"/>
      <c r="T24" s="20"/>
      <c r="V24" s="239"/>
      <c r="W24" s="240"/>
      <c r="X24" s="240"/>
      <c r="Z24" s="17"/>
      <c r="AA24" s="17"/>
      <c r="AB24" s="20"/>
      <c r="AD24" s="17"/>
      <c r="AE24" s="17"/>
      <c r="AF24" s="20"/>
      <c r="AH24" s="239"/>
      <c r="AI24" s="240"/>
      <c r="AJ24" s="240"/>
      <c r="AL24" s="17"/>
      <c r="AM24" s="17"/>
      <c r="AN24" s="20"/>
      <c r="AP24" s="17"/>
      <c r="AQ24" s="17"/>
      <c r="AR24" s="20"/>
    </row>
    <row r="25" spans="1:44" x14ac:dyDescent="0.3">
      <c r="A25" s="1">
        <f t="shared" si="0"/>
        <v>25</v>
      </c>
      <c r="B25" s="13" t="s">
        <v>17</v>
      </c>
      <c r="C25" s="13" t="s">
        <v>17</v>
      </c>
      <c r="D25" s="13">
        <v>23</v>
      </c>
      <c r="F25" s="14">
        <v>285</v>
      </c>
      <c r="H25" s="19">
        <v>88.800000000000011</v>
      </c>
      <c r="I25" s="19"/>
      <c r="J25" s="185">
        <v>0.2</v>
      </c>
      <c r="K25" s="19"/>
      <c r="L25" s="14">
        <f t="shared" si="17"/>
        <v>228</v>
      </c>
      <c r="M25" s="19"/>
      <c r="N25" s="16">
        <v>93.34</v>
      </c>
      <c r="O25" s="17">
        <f t="shared" si="18"/>
        <v>4.539999999999992</v>
      </c>
      <c r="P25" s="18">
        <f t="shared" si="19"/>
        <v>5.1126126126126027E-2</v>
      </c>
      <c r="Q25" s="19"/>
      <c r="R25" s="16">
        <v>94.11</v>
      </c>
      <c r="S25" s="17">
        <f t="shared" si="7"/>
        <v>5.3099999999999881</v>
      </c>
      <c r="T25" s="20">
        <f t="shared" si="20"/>
        <v>5.9797297297297158E-2</v>
      </c>
      <c r="V25" s="239">
        <v>0.2</v>
      </c>
      <c r="W25" s="240">
        <v>0</v>
      </c>
      <c r="X25" s="240">
        <f t="shared" si="21"/>
        <v>228</v>
      </c>
      <c r="Z25" s="17">
        <v>86.67</v>
      </c>
      <c r="AA25" s="17">
        <f t="shared" si="8"/>
        <v>-2.1300000000000097</v>
      </c>
      <c r="AB25" s="20">
        <f t="shared" si="9"/>
        <v>-2.3986486486486592E-2</v>
      </c>
      <c r="AD25" s="17">
        <v>87.37</v>
      </c>
      <c r="AE25" s="17">
        <f t="shared" si="10"/>
        <v>-1.4300000000000068</v>
      </c>
      <c r="AF25" s="20">
        <f t="shared" si="11"/>
        <v>-1.6103603603603679E-2</v>
      </c>
      <c r="AH25" s="239">
        <v>0.2</v>
      </c>
      <c r="AI25" s="240">
        <v>0</v>
      </c>
      <c r="AJ25" s="240">
        <f t="shared" si="12"/>
        <v>228</v>
      </c>
      <c r="AL25" s="17">
        <v>79.259999999999991</v>
      </c>
      <c r="AM25" s="17">
        <f t="shared" si="13"/>
        <v>-9.5400000000000205</v>
      </c>
      <c r="AN25" s="20">
        <f t="shared" si="14"/>
        <v>-0.10743243243243265</v>
      </c>
      <c r="AP25" s="17">
        <v>79.89</v>
      </c>
      <c r="AQ25" s="17">
        <f t="shared" si="15"/>
        <v>-8.9100000000000108</v>
      </c>
      <c r="AR25" s="20">
        <f t="shared" si="16"/>
        <v>-0.10033783783783795</v>
      </c>
    </row>
    <row r="26" spans="1:44" x14ac:dyDescent="0.3">
      <c r="A26" s="1">
        <f t="shared" si="0"/>
        <v>26</v>
      </c>
      <c r="D26" s="13"/>
      <c r="F26" s="14"/>
      <c r="H26" s="19"/>
      <c r="I26" s="16"/>
      <c r="J26" s="185"/>
      <c r="K26" s="16"/>
      <c r="L26" s="14"/>
      <c r="M26" s="16"/>
      <c r="N26" s="16"/>
      <c r="O26" s="17"/>
      <c r="P26" s="18"/>
      <c r="Q26" s="16"/>
      <c r="R26" s="16"/>
      <c r="S26" s="17"/>
      <c r="T26" s="20"/>
      <c r="V26" s="239"/>
      <c r="W26" s="240"/>
      <c r="X26" s="240"/>
      <c r="Z26" s="17"/>
      <c r="AA26" s="17"/>
      <c r="AB26" s="20"/>
      <c r="AD26" s="17"/>
      <c r="AE26" s="17"/>
      <c r="AF26" s="20"/>
      <c r="AH26" s="239"/>
      <c r="AI26" s="240"/>
      <c r="AJ26" s="240"/>
      <c r="AL26" s="17"/>
      <c r="AM26" s="17"/>
      <c r="AN26" s="20"/>
      <c r="AP26" s="17"/>
      <c r="AQ26" s="17"/>
      <c r="AR26" s="20"/>
    </row>
    <row r="27" spans="1:44" x14ac:dyDescent="0.3">
      <c r="A27" s="1">
        <f t="shared" si="0"/>
        <v>27</v>
      </c>
      <c r="B27" s="13" t="s">
        <v>17</v>
      </c>
      <c r="C27" s="13" t="s">
        <v>17</v>
      </c>
      <c r="D27" s="13">
        <v>24</v>
      </c>
      <c r="E27" s="14">
        <v>12</v>
      </c>
      <c r="F27" s="14">
        <v>840</v>
      </c>
      <c r="H27" s="19">
        <v>338.65880000000004</v>
      </c>
      <c r="I27" s="19"/>
      <c r="J27" s="185">
        <v>0.2</v>
      </c>
      <c r="K27" s="242">
        <v>12</v>
      </c>
      <c r="L27" s="14">
        <f t="shared" si="17"/>
        <v>672</v>
      </c>
      <c r="M27" s="19"/>
      <c r="N27" s="16">
        <v>352.58431200000001</v>
      </c>
      <c r="O27" s="17">
        <f t="shared" si="18"/>
        <v>13.925511999999969</v>
      </c>
      <c r="P27" s="18">
        <f t="shared" si="19"/>
        <v>4.1119592935426358E-2</v>
      </c>
      <c r="Q27" s="19"/>
      <c r="R27" s="16">
        <v>354.86431200000004</v>
      </c>
      <c r="S27" s="17">
        <f t="shared" si="7"/>
        <v>16.205511999999999</v>
      </c>
      <c r="T27" s="20">
        <f t="shared" si="20"/>
        <v>4.7852032783438664E-2</v>
      </c>
      <c r="V27" s="239">
        <v>0.2</v>
      </c>
      <c r="W27" s="240">
        <v>12</v>
      </c>
      <c r="X27" s="240">
        <f t="shared" si="21"/>
        <v>672</v>
      </c>
      <c r="Z27" s="17">
        <v>337.91392000000002</v>
      </c>
      <c r="AA27" s="17">
        <f t="shared" si="8"/>
        <v>-0.7448800000000233</v>
      </c>
      <c r="AB27" s="20">
        <f t="shared" si="9"/>
        <v>-2.1994999096436388E-3</v>
      </c>
      <c r="AD27" s="17">
        <v>339.98392000000001</v>
      </c>
      <c r="AE27" s="17">
        <f t="shared" si="10"/>
        <v>1.3251199999999699</v>
      </c>
      <c r="AF27" s="20">
        <f t="shared" si="11"/>
        <v>3.9128467944726953E-3</v>
      </c>
      <c r="AH27" s="239">
        <v>0.2</v>
      </c>
      <c r="AI27" s="240">
        <v>12</v>
      </c>
      <c r="AJ27" s="240">
        <f t="shared" si="12"/>
        <v>672</v>
      </c>
      <c r="AL27" s="17">
        <v>321.60903999999999</v>
      </c>
      <c r="AM27" s="17">
        <f t="shared" si="13"/>
        <v>-17.049760000000049</v>
      </c>
      <c r="AN27" s="20">
        <f t="shared" si="14"/>
        <v>-5.0344948957475925E-2</v>
      </c>
      <c r="AP27" s="17">
        <v>323.45904000000002</v>
      </c>
      <c r="AQ27" s="17">
        <f t="shared" si="15"/>
        <v>-15.199760000000026</v>
      </c>
      <c r="AR27" s="20">
        <f t="shared" si="16"/>
        <v>-4.4882223642202783E-2</v>
      </c>
    </row>
    <row r="28" spans="1:44" x14ac:dyDescent="0.3">
      <c r="A28" s="1">
        <f t="shared" si="0"/>
        <v>28</v>
      </c>
      <c r="B28" s="13" t="s">
        <v>17</v>
      </c>
      <c r="C28" s="13" t="s">
        <v>17</v>
      </c>
      <c r="D28" s="13">
        <v>24</v>
      </c>
      <c r="E28" s="14">
        <v>15</v>
      </c>
      <c r="F28" s="14">
        <v>2100</v>
      </c>
      <c r="H28" s="19">
        <v>597.71199999999999</v>
      </c>
      <c r="I28" s="19"/>
      <c r="J28" s="185">
        <v>0.2</v>
      </c>
      <c r="K28" s="242">
        <v>15</v>
      </c>
      <c r="L28" s="14">
        <f t="shared" si="17"/>
        <v>1680</v>
      </c>
      <c r="M28" s="19"/>
      <c r="N28" s="16">
        <v>632.50577999999996</v>
      </c>
      <c r="O28" s="17">
        <f t="shared" si="18"/>
        <v>34.79377999999997</v>
      </c>
      <c r="P28" s="18">
        <f t="shared" si="19"/>
        <v>5.8211613619937312E-2</v>
      </c>
      <c r="Q28" s="19"/>
      <c r="R28" s="16">
        <v>638.22577999999999</v>
      </c>
      <c r="S28" s="17">
        <f t="shared" si="7"/>
        <v>40.513779999999997</v>
      </c>
      <c r="T28" s="20">
        <f t="shared" si="20"/>
        <v>6.7781439890783515E-2</v>
      </c>
      <c r="V28" s="239">
        <v>0.2</v>
      </c>
      <c r="W28" s="240">
        <v>15</v>
      </c>
      <c r="X28" s="240">
        <f t="shared" si="21"/>
        <v>1680</v>
      </c>
      <c r="Z28" s="17">
        <v>595.82979999999998</v>
      </c>
      <c r="AA28" s="17">
        <f t="shared" si="8"/>
        <v>-1.8822000000000116</v>
      </c>
      <c r="AB28" s="20">
        <f t="shared" si="9"/>
        <v>-3.1490082180046773E-3</v>
      </c>
      <c r="AD28" s="17">
        <v>601.02980000000002</v>
      </c>
      <c r="AE28" s="17">
        <f t="shared" si="10"/>
        <v>3.3178000000000338</v>
      </c>
      <c r="AF28" s="20">
        <f t="shared" si="11"/>
        <v>5.5508338464009986E-3</v>
      </c>
      <c r="AH28" s="239">
        <v>0.2</v>
      </c>
      <c r="AI28" s="240">
        <v>15</v>
      </c>
      <c r="AJ28" s="240">
        <f t="shared" si="12"/>
        <v>1680</v>
      </c>
      <c r="AL28" s="17">
        <v>555.07760000000007</v>
      </c>
      <c r="AM28" s="17">
        <f t="shared" si="13"/>
        <v>-42.634399999999914</v>
      </c>
      <c r="AN28" s="20">
        <f t="shared" si="14"/>
        <v>-7.1329335867441029E-2</v>
      </c>
      <c r="AP28" s="17">
        <v>559.69759999999997</v>
      </c>
      <c r="AQ28" s="17">
        <f t="shared" si="15"/>
        <v>-38.014400000000023</v>
      </c>
      <c r="AR28" s="20">
        <f t="shared" si="16"/>
        <v>-6.3599860802527011E-2</v>
      </c>
    </row>
    <row r="29" spans="1:44" x14ac:dyDescent="0.3">
      <c r="A29" s="1">
        <f t="shared" si="0"/>
        <v>29</v>
      </c>
      <c r="B29" s="13" t="s">
        <v>17</v>
      </c>
      <c r="C29" s="13" t="s">
        <v>17</v>
      </c>
      <c r="D29" s="13">
        <v>24</v>
      </c>
      <c r="E29" s="14">
        <v>12</v>
      </c>
      <c r="F29" s="14">
        <v>3180</v>
      </c>
      <c r="H29" s="19">
        <v>749.44759999999997</v>
      </c>
      <c r="I29" s="19"/>
      <c r="J29" s="185">
        <v>0.2</v>
      </c>
      <c r="K29" s="242">
        <v>12</v>
      </c>
      <c r="L29" s="14">
        <f t="shared" si="17"/>
        <v>2544</v>
      </c>
      <c r="M29" s="19"/>
      <c r="N29" s="16">
        <v>802.14132399999994</v>
      </c>
      <c r="O29" s="17">
        <f t="shared" si="18"/>
        <v>52.693723999999975</v>
      </c>
      <c r="P29" s="18">
        <f t="shared" si="19"/>
        <v>7.0310084387487495E-2</v>
      </c>
      <c r="Q29" s="19"/>
      <c r="R29" s="16">
        <v>810.80132400000002</v>
      </c>
      <c r="S29" s="17">
        <f t="shared" si="7"/>
        <v>61.353724000000057</v>
      </c>
      <c r="T29" s="20">
        <f t="shared" si="20"/>
        <v>8.1865261827511429E-2</v>
      </c>
      <c r="V29" s="239">
        <v>0.2</v>
      </c>
      <c r="W29" s="240">
        <v>12</v>
      </c>
      <c r="X29" s="240">
        <f t="shared" si="21"/>
        <v>2544</v>
      </c>
      <c r="Z29" s="17">
        <v>746.59483999999998</v>
      </c>
      <c r="AA29" s="17">
        <f t="shared" si="8"/>
        <v>-2.8527599999999893</v>
      </c>
      <c r="AB29" s="20">
        <f t="shared" si="9"/>
        <v>-3.8064836020556868E-3</v>
      </c>
      <c r="AD29" s="17">
        <v>754.47484000000009</v>
      </c>
      <c r="AE29" s="17">
        <f t="shared" si="10"/>
        <v>5.0272400000001198</v>
      </c>
      <c r="AF29" s="20">
        <f t="shared" si="11"/>
        <v>6.707927278705169E-3</v>
      </c>
      <c r="AH29" s="239">
        <v>0.2</v>
      </c>
      <c r="AI29" s="240">
        <v>12</v>
      </c>
      <c r="AJ29" s="240">
        <f t="shared" si="12"/>
        <v>2544</v>
      </c>
      <c r="AL29" s="17">
        <v>684.89208000000008</v>
      </c>
      <c r="AM29" s="17">
        <f t="shared" si="13"/>
        <v>-64.555519999999888</v>
      </c>
      <c r="AN29" s="20">
        <f t="shared" si="14"/>
        <v>-8.6137469784411738E-2</v>
      </c>
      <c r="AP29" s="17">
        <v>691.88208000000009</v>
      </c>
      <c r="AQ29" s="17">
        <f t="shared" si="15"/>
        <v>-57.565519999999879</v>
      </c>
      <c r="AR29" s="20">
        <f t="shared" si="16"/>
        <v>-7.6810600234092252E-2</v>
      </c>
    </row>
    <row r="30" spans="1:44" x14ac:dyDescent="0.3">
      <c r="A30" s="1">
        <f t="shared" si="0"/>
        <v>30</v>
      </c>
      <c r="F30" s="14"/>
      <c r="H30" s="19"/>
      <c r="I30" s="19"/>
      <c r="J30" s="185"/>
      <c r="K30" s="242"/>
      <c r="L30" s="14"/>
      <c r="M30" s="19"/>
      <c r="N30" s="16"/>
      <c r="O30" s="17"/>
      <c r="P30" s="18"/>
      <c r="Q30" s="19"/>
      <c r="R30" s="16"/>
      <c r="S30" s="17"/>
      <c r="T30" s="20"/>
      <c r="V30" s="239"/>
      <c r="W30" s="240"/>
      <c r="X30" s="240"/>
      <c r="Z30" s="17"/>
      <c r="AA30" s="17"/>
      <c r="AB30" s="20"/>
      <c r="AD30" s="17"/>
      <c r="AE30" s="17"/>
      <c r="AF30" s="20"/>
      <c r="AH30" s="239"/>
      <c r="AI30" s="240"/>
      <c r="AJ30" s="240"/>
      <c r="AL30" s="17"/>
      <c r="AM30" s="17"/>
      <c r="AN30" s="20"/>
      <c r="AP30" s="17"/>
      <c r="AQ30" s="17"/>
      <c r="AR30" s="20"/>
    </row>
    <row r="31" spans="1:44" x14ac:dyDescent="0.3">
      <c r="A31" s="1">
        <f t="shared" si="0"/>
        <v>31</v>
      </c>
      <c r="B31" s="2" t="s">
        <v>15</v>
      </c>
      <c r="C31" s="2" t="s">
        <v>21</v>
      </c>
      <c r="D31" s="2" t="s">
        <v>22</v>
      </c>
      <c r="F31" s="14">
        <v>2250</v>
      </c>
      <c r="H31" s="19">
        <v>622.36</v>
      </c>
      <c r="I31" s="16"/>
      <c r="J31" s="185">
        <v>0.2</v>
      </c>
      <c r="K31" s="242">
        <v>0</v>
      </c>
      <c r="L31" s="14">
        <f t="shared" si="17"/>
        <v>1800</v>
      </c>
      <c r="M31" s="16"/>
      <c r="N31" s="16">
        <v>657.53</v>
      </c>
      <c r="O31" s="17">
        <f t="shared" si="18"/>
        <v>35.169999999999959</v>
      </c>
      <c r="P31" s="18">
        <f t="shared" si="19"/>
        <v>5.6510701201876658E-2</v>
      </c>
      <c r="Q31" s="16"/>
      <c r="R31" s="16">
        <v>663.65</v>
      </c>
      <c r="S31" s="17">
        <f t="shared" si="7"/>
        <v>41.289999999999964</v>
      </c>
      <c r="T31" s="20">
        <f t="shared" si="20"/>
        <v>6.6344238061572025E-2</v>
      </c>
      <c r="V31" s="239">
        <v>0.2</v>
      </c>
      <c r="W31" s="240">
        <v>0</v>
      </c>
      <c r="X31" s="240">
        <f t="shared" si="21"/>
        <v>1800</v>
      </c>
      <c r="Z31" s="17">
        <v>599.1099999999999</v>
      </c>
      <c r="AA31" s="17">
        <f t="shared" si="8"/>
        <v>-23.250000000000114</v>
      </c>
      <c r="AB31" s="20">
        <f t="shared" si="9"/>
        <v>-3.7357799344431057E-2</v>
      </c>
      <c r="AD31" s="17">
        <v>604.68000000000006</v>
      </c>
      <c r="AE31" s="17">
        <f t="shared" si="10"/>
        <v>-17.67999999999995</v>
      </c>
      <c r="AF31" s="20">
        <f t="shared" si="11"/>
        <v>-2.840799537245316E-2</v>
      </c>
      <c r="AH31" s="239">
        <v>0.2</v>
      </c>
      <c r="AI31" s="240">
        <v>0</v>
      </c>
      <c r="AJ31" s="240">
        <f t="shared" si="12"/>
        <v>1800</v>
      </c>
      <c r="AL31" s="17">
        <v>534.21</v>
      </c>
      <c r="AM31" s="17">
        <f t="shared" si="13"/>
        <v>-88.149999999999977</v>
      </c>
      <c r="AN31" s="20">
        <f t="shared" si="14"/>
        <v>-0.14163828009512175</v>
      </c>
      <c r="AP31" s="17">
        <v>539.16000000000008</v>
      </c>
      <c r="AQ31" s="17">
        <f t="shared" si="15"/>
        <v>-83.199999999999932</v>
      </c>
      <c r="AR31" s="20">
        <f t="shared" si="16"/>
        <v>-0.1336846841056622</v>
      </c>
    </row>
    <row r="32" spans="1:44" x14ac:dyDescent="0.3">
      <c r="A32" s="1">
        <f t="shared" si="0"/>
        <v>32</v>
      </c>
      <c r="B32" s="2" t="s">
        <v>15</v>
      </c>
      <c r="C32" s="2" t="s">
        <v>23</v>
      </c>
      <c r="D32" s="2" t="s">
        <v>22</v>
      </c>
      <c r="F32" s="14">
        <v>2700</v>
      </c>
      <c r="H32" s="19">
        <v>705.99</v>
      </c>
      <c r="I32" s="16"/>
      <c r="J32" s="185">
        <v>0.2</v>
      </c>
      <c r="K32" s="242">
        <v>0</v>
      </c>
      <c r="L32" s="14">
        <f t="shared" si="17"/>
        <v>2160</v>
      </c>
      <c r="M32" s="16"/>
      <c r="N32" s="16">
        <v>748.56</v>
      </c>
      <c r="O32" s="17">
        <f t="shared" si="18"/>
        <v>42.569999999999936</v>
      </c>
      <c r="P32" s="18">
        <f t="shared" si="19"/>
        <v>6.0298304508562356E-2</v>
      </c>
      <c r="Q32" s="16"/>
      <c r="R32" s="16">
        <v>755.91000000000008</v>
      </c>
      <c r="S32" s="17">
        <f t="shared" si="7"/>
        <v>49.920000000000073</v>
      </c>
      <c r="T32" s="20">
        <f t="shared" si="20"/>
        <v>7.0709216844431322E-2</v>
      </c>
      <c r="V32" s="239">
        <v>0.2</v>
      </c>
      <c r="W32" s="240">
        <v>0</v>
      </c>
      <c r="X32" s="240">
        <f t="shared" si="21"/>
        <v>2160</v>
      </c>
      <c r="Z32" s="17">
        <v>681.86</v>
      </c>
      <c r="AA32" s="17">
        <f t="shared" si="8"/>
        <v>-24.129999999999995</v>
      </c>
      <c r="AB32" s="20">
        <f t="shared" si="9"/>
        <v>-3.4178954376124303E-2</v>
      </c>
      <c r="AD32" s="17">
        <v>688.55</v>
      </c>
      <c r="AE32" s="17">
        <f t="shared" si="10"/>
        <v>-17.440000000000055</v>
      </c>
      <c r="AF32" s="20">
        <f t="shared" si="11"/>
        <v>-2.4702899474496883E-2</v>
      </c>
      <c r="AH32" s="239">
        <v>0.2</v>
      </c>
      <c r="AI32" s="240">
        <v>0</v>
      </c>
      <c r="AJ32" s="240">
        <f t="shared" si="12"/>
        <v>2160</v>
      </c>
      <c r="AL32" s="17">
        <v>607.77</v>
      </c>
      <c r="AM32" s="17">
        <f t="shared" si="13"/>
        <v>-98.220000000000027</v>
      </c>
      <c r="AN32" s="20">
        <f t="shared" si="14"/>
        <v>-0.13912378362299754</v>
      </c>
      <c r="AP32" s="17">
        <v>613.71</v>
      </c>
      <c r="AQ32" s="17">
        <f t="shared" si="15"/>
        <v>-92.279999999999973</v>
      </c>
      <c r="AR32" s="20">
        <f t="shared" si="16"/>
        <v>-0.13071006671482596</v>
      </c>
    </row>
    <row r="33" spans="1:44" x14ac:dyDescent="0.3">
      <c r="A33" s="1">
        <f t="shared" si="0"/>
        <v>33</v>
      </c>
      <c r="B33" s="2" t="s">
        <v>15</v>
      </c>
      <c r="C33" s="2" t="s">
        <v>24</v>
      </c>
      <c r="D33" s="2" t="s">
        <v>22</v>
      </c>
      <c r="F33" s="14">
        <v>1650</v>
      </c>
      <c r="H33" s="19">
        <v>442.68</v>
      </c>
      <c r="I33" s="16"/>
      <c r="J33" s="185">
        <v>0.2</v>
      </c>
      <c r="K33" s="242">
        <v>0</v>
      </c>
      <c r="L33" s="14">
        <f t="shared" si="17"/>
        <v>1320</v>
      </c>
      <c r="M33" s="16"/>
      <c r="N33" s="16">
        <v>468.64</v>
      </c>
      <c r="O33" s="17">
        <f t="shared" si="18"/>
        <v>25.95999999999998</v>
      </c>
      <c r="P33" s="18">
        <f t="shared" si="19"/>
        <v>5.864281196349503E-2</v>
      </c>
      <c r="Q33" s="16"/>
      <c r="R33" s="16">
        <v>473.13</v>
      </c>
      <c r="S33" s="17">
        <f t="shared" si="7"/>
        <v>30.449999999999989</v>
      </c>
      <c r="T33" s="20">
        <f t="shared" si="20"/>
        <v>6.8785578747628057E-2</v>
      </c>
      <c r="V33" s="239">
        <v>0.2</v>
      </c>
      <c r="W33" s="240">
        <v>0</v>
      </c>
      <c r="X33" s="240">
        <f t="shared" si="21"/>
        <v>1320</v>
      </c>
      <c r="Z33" s="17">
        <v>427.4</v>
      </c>
      <c r="AA33" s="17">
        <f t="shared" si="8"/>
        <v>-15.28000000000003</v>
      </c>
      <c r="AB33" s="20">
        <f t="shared" si="9"/>
        <v>-3.4517032619499476E-2</v>
      </c>
      <c r="AD33" s="17">
        <v>431.48</v>
      </c>
      <c r="AE33" s="17">
        <f t="shared" si="10"/>
        <v>-11.199999999999989</v>
      </c>
      <c r="AF33" s="20">
        <f t="shared" si="11"/>
        <v>-2.5300442757748235E-2</v>
      </c>
      <c r="AH33" s="239">
        <v>0.2</v>
      </c>
      <c r="AI33" s="240">
        <v>0</v>
      </c>
      <c r="AJ33" s="240">
        <f t="shared" si="12"/>
        <v>1320</v>
      </c>
      <c r="AL33" s="17">
        <v>381.58</v>
      </c>
      <c r="AM33" s="17">
        <f t="shared" si="13"/>
        <v>-61.100000000000023</v>
      </c>
      <c r="AN33" s="20">
        <f t="shared" si="14"/>
        <v>-0.1380229511159303</v>
      </c>
      <c r="AP33" s="17">
        <v>385.21000000000004</v>
      </c>
      <c r="AQ33" s="17">
        <f t="shared" si="15"/>
        <v>-57.46999999999997</v>
      </c>
      <c r="AR33" s="20">
        <f t="shared" si="16"/>
        <v>-0.12982289690069571</v>
      </c>
    </row>
    <row r="34" spans="1:44" x14ac:dyDescent="0.3">
      <c r="A34" s="1">
        <f t="shared" si="0"/>
        <v>34</v>
      </c>
      <c r="B34" s="13" t="s">
        <v>17</v>
      </c>
      <c r="C34" s="13" t="s">
        <v>17</v>
      </c>
      <c r="D34" s="2" t="s">
        <v>22</v>
      </c>
      <c r="F34" s="14">
        <v>2140</v>
      </c>
      <c r="H34" s="19">
        <v>540.24</v>
      </c>
      <c r="I34" s="16"/>
      <c r="J34" s="185">
        <v>0.2</v>
      </c>
      <c r="K34" s="242">
        <v>0</v>
      </c>
      <c r="L34" s="14">
        <f t="shared" si="17"/>
        <v>1712</v>
      </c>
      <c r="M34" s="16"/>
      <c r="N34" s="16">
        <v>540.24</v>
      </c>
      <c r="O34" s="17">
        <f t="shared" si="18"/>
        <v>0</v>
      </c>
      <c r="P34" s="18">
        <f t="shared" si="19"/>
        <v>0</v>
      </c>
      <c r="Q34" s="16"/>
      <c r="R34" s="16">
        <v>580.18000000000006</v>
      </c>
      <c r="S34" s="17">
        <f t="shared" si="7"/>
        <v>39.940000000000055</v>
      </c>
      <c r="T34" s="20">
        <f t="shared" si="20"/>
        <v>7.3930105138457075E-2</v>
      </c>
      <c r="V34" s="239">
        <v>0.2</v>
      </c>
      <c r="W34" s="240">
        <v>0</v>
      </c>
      <c r="X34" s="240">
        <f t="shared" si="21"/>
        <v>1712</v>
      </c>
      <c r="Z34" s="17">
        <v>540.24</v>
      </c>
      <c r="AA34" s="17">
        <f t="shared" si="8"/>
        <v>0</v>
      </c>
      <c r="AB34" s="20">
        <f t="shared" si="9"/>
        <v>0</v>
      </c>
      <c r="AD34" s="17">
        <v>530.16000000000008</v>
      </c>
      <c r="AE34" s="17">
        <f t="shared" si="10"/>
        <v>-10.079999999999927</v>
      </c>
      <c r="AF34" s="20">
        <f t="shared" si="11"/>
        <v>-1.8658374055974987E-2</v>
      </c>
      <c r="AH34" s="239">
        <v>0.2</v>
      </c>
      <c r="AI34" s="240">
        <v>0</v>
      </c>
      <c r="AJ34" s="240">
        <f t="shared" si="12"/>
        <v>1712</v>
      </c>
      <c r="AL34" s="17">
        <v>540.24</v>
      </c>
      <c r="AM34" s="17">
        <f t="shared" si="13"/>
        <v>0</v>
      </c>
      <c r="AN34" s="20">
        <f t="shared" si="14"/>
        <v>0</v>
      </c>
      <c r="AP34" s="17">
        <v>474.59000000000003</v>
      </c>
      <c r="AQ34" s="17">
        <f t="shared" si="15"/>
        <v>-65.649999999999977</v>
      </c>
      <c r="AR34" s="20">
        <f t="shared" si="16"/>
        <v>-0.12152006515622682</v>
      </c>
    </row>
    <row r="35" spans="1:44" x14ac:dyDescent="0.3">
      <c r="A35" s="1">
        <f t="shared" si="0"/>
        <v>35</v>
      </c>
      <c r="F35" s="14"/>
      <c r="H35" s="19"/>
      <c r="I35" s="19"/>
      <c r="J35" s="185"/>
      <c r="K35" s="242"/>
      <c r="L35" s="14"/>
      <c r="M35" s="19"/>
      <c r="N35" s="16"/>
      <c r="O35" s="17"/>
      <c r="P35" s="18"/>
      <c r="Q35" s="19"/>
      <c r="R35" s="16"/>
      <c r="S35" s="17"/>
      <c r="T35" s="20"/>
      <c r="V35" s="239"/>
      <c r="W35" s="240"/>
      <c r="X35" s="240"/>
      <c r="Z35" s="17"/>
      <c r="AA35" s="17"/>
      <c r="AB35" s="20"/>
      <c r="AD35" s="17"/>
      <c r="AE35" s="17"/>
      <c r="AF35" s="20"/>
      <c r="AH35" s="239"/>
      <c r="AI35" s="240"/>
      <c r="AJ35" s="240"/>
      <c r="AL35" s="17"/>
      <c r="AM35" s="17"/>
      <c r="AN35" s="20"/>
      <c r="AP35" s="17"/>
      <c r="AQ35" s="17"/>
      <c r="AR35" s="20"/>
    </row>
    <row r="36" spans="1:44" x14ac:dyDescent="0.3">
      <c r="A36" s="1">
        <f t="shared" si="0"/>
        <v>36</v>
      </c>
      <c r="B36" s="2" t="s">
        <v>15</v>
      </c>
      <c r="C36" s="2" t="s">
        <v>21</v>
      </c>
      <c r="D36" s="2" t="s">
        <v>25</v>
      </c>
      <c r="E36" s="14">
        <v>10</v>
      </c>
      <c r="F36" s="14">
        <v>1000</v>
      </c>
      <c r="H36" s="19">
        <v>215.96</v>
      </c>
      <c r="I36" s="16"/>
      <c r="J36" s="185">
        <v>0.2</v>
      </c>
      <c r="K36" s="242">
        <v>10</v>
      </c>
      <c r="L36" s="14">
        <f t="shared" si="17"/>
        <v>800</v>
      </c>
      <c r="M36" s="16"/>
      <c r="N36" s="16">
        <v>232.32</v>
      </c>
      <c r="O36" s="17">
        <f t="shared" si="18"/>
        <v>16.359999999999985</v>
      </c>
      <c r="P36" s="18">
        <f t="shared" si="19"/>
        <v>7.5754769401740987E-2</v>
      </c>
      <c r="Q36" s="16"/>
      <c r="R36" s="16">
        <v>235.04999999999998</v>
      </c>
      <c r="S36" s="17">
        <f t="shared" si="7"/>
        <v>19.089999999999975</v>
      </c>
      <c r="T36" s="20">
        <f t="shared" si="20"/>
        <v>8.8395999259121935E-2</v>
      </c>
      <c r="V36" s="239">
        <v>0.2</v>
      </c>
      <c r="W36" s="240">
        <v>10</v>
      </c>
      <c r="X36" s="240">
        <f t="shared" si="21"/>
        <v>800</v>
      </c>
      <c r="Z36" s="17">
        <v>213.02</v>
      </c>
      <c r="AA36" s="17">
        <f t="shared" si="8"/>
        <v>-2.9399999999999977</v>
      </c>
      <c r="AB36" s="20">
        <f t="shared" si="9"/>
        <v>-1.3613632154102601E-2</v>
      </c>
      <c r="AD36" s="17">
        <v>215.5</v>
      </c>
      <c r="AE36" s="17">
        <f t="shared" si="10"/>
        <v>-0.46000000000000796</v>
      </c>
      <c r="AF36" s="20">
        <f t="shared" si="11"/>
        <v>-2.1300240785330983E-3</v>
      </c>
      <c r="AH36" s="239">
        <v>0.2</v>
      </c>
      <c r="AI36" s="240">
        <v>10</v>
      </c>
      <c r="AJ36" s="240">
        <f t="shared" si="12"/>
        <v>800</v>
      </c>
      <c r="AL36" s="17">
        <v>191.57999999999998</v>
      </c>
      <c r="AM36" s="17">
        <f t="shared" si="13"/>
        <v>-24.380000000000024</v>
      </c>
      <c r="AN36" s="20">
        <f t="shared" si="14"/>
        <v>-0.11289127616225238</v>
      </c>
      <c r="AP36" s="17">
        <v>193.78</v>
      </c>
      <c r="AQ36" s="17">
        <f t="shared" si="15"/>
        <v>-22.180000000000007</v>
      </c>
      <c r="AR36" s="20">
        <f t="shared" si="16"/>
        <v>-0.10270420448231157</v>
      </c>
    </row>
    <row r="37" spans="1:44" x14ac:dyDescent="0.3">
      <c r="A37" s="1">
        <f t="shared" si="0"/>
        <v>37</v>
      </c>
      <c r="B37" s="2" t="s">
        <v>15</v>
      </c>
      <c r="C37" s="2" t="s">
        <v>21</v>
      </c>
      <c r="D37" s="2" t="s">
        <v>25</v>
      </c>
      <c r="E37" s="14">
        <v>16</v>
      </c>
      <c r="F37" s="14">
        <v>3840</v>
      </c>
      <c r="H37" s="19">
        <v>992.99</v>
      </c>
      <c r="I37" s="16"/>
      <c r="J37" s="185">
        <v>0.2</v>
      </c>
      <c r="K37" s="242">
        <v>16</v>
      </c>
      <c r="L37" s="14">
        <f t="shared" si="17"/>
        <v>3072</v>
      </c>
      <c r="M37" s="16"/>
      <c r="N37" s="16">
        <v>1055.83</v>
      </c>
      <c r="O37" s="17">
        <f t="shared" si="18"/>
        <v>62.839999999999918</v>
      </c>
      <c r="P37" s="18">
        <f t="shared" si="19"/>
        <v>6.3283618163324826E-2</v>
      </c>
      <c r="Q37" s="16"/>
      <c r="R37" s="16">
        <v>1066.29</v>
      </c>
      <c r="S37" s="17">
        <f t="shared" si="7"/>
        <v>73.299999999999955</v>
      </c>
      <c r="T37" s="20">
        <f t="shared" si="20"/>
        <v>7.3817460397385626E-2</v>
      </c>
      <c r="V37" s="239">
        <v>0.2</v>
      </c>
      <c r="W37" s="240">
        <v>16</v>
      </c>
      <c r="X37" s="240">
        <f t="shared" si="21"/>
        <v>3072</v>
      </c>
      <c r="Z37" s="17">
        <v>981.70999999999992</v>
      </c>
      <c r="AA37" s="17">
        <f t="shared" si="8"/>
        <v>-11.280000000000086</v>
      </c>
      <c r="AB37" s="20">
        <f t="shared" si="9"/>
        <v>-1.1359631013404049E-2</v>
      </c>
      <c r="AD37" s="17">
        <v>991.21999999999991</v>
      </c>
      <c r="AE37" s="17">
        <f t="shared" si="10"/>
        <v>-1.7700000000000955</v>
      </c>
      <c r="AF37" s="20">
        <f t="shared" si="11"/>
        <v>-1.7824952919969943E-3</v>
      </c>
      <c r="AH37" s="239">
        <v>0.2</v>
      </c>
      <c r="AI37" s="240">
        <v>16</v>
      </c>
      <c r="AJ37" s="240">
        <f t="shared" si="12"/>
        <v>3072</v>
      </c>
      <c r="AL37" s="17">
        <v>899.35</v>
      </c>
      <c r="AM37" s="17">
        <f t="shared" si="13"/>
        <v>-93.639999999999986</v>
      </c>
      <c r="AN37" s="20">
        <f t="shared" si="14"/>
        <v>-9.4301050363044925E-2</v>
      </c>
      <c r="AP37" s="17">
        <v>907.8</v>
      </c>
      <c r="AQ37" s="17">
        <f t="shared" si="15"/>
        <v>-85.190000000000055</v>
      </c>
      <c r="AR37" s="20">
        <f t="shared" si="16"/>
        <v>-8.5791397697862065E-2</v>
      </c>
    </row>
    <row r="38" spans="1:44" x14ac:dyDescent="0.3">
      <c r="A38" s="1">
        <f t="shared" si="0"/>
        <v>38</v>
      </c>
      <c r="B38" s="2" t="s">
        <v>15</v>
      </c>
      <c r="C38" s="2" t="s">
        <v>21</v>
      </c>
      <c r="D38" s="2" t="s">
        <v>25</v>
      </c>
      <c r="E38" s="14">
        <v>20</v>
      </c>
      <c r="F38" s="14">
        <v>8400</v>
      </c>
      <c r="H38" s="19">
        <v>2033.57</v>
      </c>
      <c r="I38" s="16"/>
      <c r="J38" s="185">
        <v>0.2</v>
      </c>
      <c r="K38" s="242">
        <v>20</v>
      </c>
      <c r="L38" s="14">
        <f t="shared" si="17"/>
        <v>6720</v>
      </c>
      <c r="M38" s="16"/>
      <c r="N38" s="16">
        <v>2171.0299999999997</v>
      </c>
      <c r="O38" s="17">
        <f t="shared" si="18"/>
        <v>137.45999999999981</v>
      </c>
      <c r="P38" s="18">
        <f t="shared" si="19"/>
        <v>6.7595411025929683E-2</v>
      </c>
      <c r="Q38" s="16"/>
      <c r="R38" s="16">
        <v>2193.9</v>
      </c>
      <c r="S38" s="17">
        <f t="shared" si="7"/>
        <v>160.33000000000015</v>
      </c>
      <c r="T38" s="20">
        <f t="shared" si="20"/>
        <v>7.8841643021877864E-2</v>
      </c>
      <c r="V38" s="239">
        <v>0.2</v>
      </c>
      <c r="W38" s="240">
        <v>20</v>
      </c>
      <c r="X38" s="240">
        <f t="shared" si="21"/>
        <v>6720</v>
      </c>
      <c r="Z38" s="17">
        <v>2008.89</v>
      </c>
      <c r="AA38" s="17">
        <f t="shared" si="8"/>
        <v>-24.679999999999836</v>
      </c>
      <c r="AB38" s="20">
        <f t="shared" si="9"/>
        <v>-1.2136292333187368E-2</v>
      </c>
      <c r="AD38" s="17">
        <v>2029.68</v>
      </c>
      <c r="AE38" s="17">
        <f t="shared" si="10"/>
        <v>-3.8899999999998727</v>
      </c>
      <c r="AF38" s="20">
        <f t="shared" si="11"/>
        <v>-1.9128921060007143E-3</v>
      </c>
      <c r="AH38" s="239">
        <v>0.2</v>
      </c>
      <c r="AI38" s="240">
        <v>20</v>
      </c>
      <c r="AJ38" s="240">
        <f t="shared" si="12"/>
        <v>6720</v>
      </c>
      <c r="AL38" s="17">
        <v>1828.73</v>
      </c>
      <c r="AM38" s="17">
        <f t="shared" si="13"/>
        <v>-204.83999999999992</v>
      </c>
      <c r="AN38" s="20">
        <f t="shared" si="14"/>
        <v>-0.10072925938128509</v>
      </c>
      <c r="AP38" s="17">
        <v>1847.21</v>
      </c>
      <c r="AQ38" s="17">
        <f t="shared" si="15"/>
        <v>-186.3599999999999</v>
      </c>
      <c r="AR38" s="20">
        <f t="shared" si="16"/>
        <v>-9.1641792512674708E-2</v>
      </c>
    </row>
    <row r="39" spans="1:44" x14ac:dyDescent="0.3">
      <c r="A39" s="1">
        <f t="shared" si="0"/>
        <v>39</v>
      </c>
      <c r="F39" s="14"/>
      <c r="H39" s="19"/>
      <c r="I39" s="19"/>
      <c r="J39" s="185"/>
      <c r="K39" s="242"/>
      <c r="L39" s="14"/>
      <c r="M39" s="19"/>
      <c r="N39" s="16"/>
      <c r="O39" s="17"/>
      <c r="P39" s="18"/>
      <c r="Q39" s="19"/>
      <c r="R39" s="16"/>
      <c r="S39" s="17"/>
      <c r="T39" s="20"/>
      <c r="V39" s="239"/>
      <c r="W39" s="240"/>
      <c r="X39" s="240"/>
      <c r="Z39" s="17"/>
      <c r="AA39" s="17"/>
      <c r="AB39" s="20"/>
      <c r="AD39" s="17"/>
      <c r="AE39" s="17"/>
      <c r="AF39" s="20"/>
      <c r="AH39" s="239"/>
      <c r="AI39" s="240"/>
      <c r="AJ39" s="240"/>
      <c r="AL39" s="17"/>
      <c r="AM39" s="17"/>
      <c r="AN39" s="20"/>
      <c r="AP39" s="17"/>
      <c r="AQ39" s="17"/>
      <c r="AR39" s="20"/>
    </row>
    <row r="40" spans="1:44" x14ac:dyDescent="0.3">
      <c r="A40" s="1">
        <f t="shared" si="0"/>
        <v>40</v>
      </c>
      <c r="B40" s="13" t="s">
        <v>17</v>
      </c>
      <c r="C40" s="13" t="s">
        <v>17</v>
      </c>
      <c r="D40" s="2" t="s">
        <v>25</v>
      </c>
      <c r="E40" s="14">
        <v>7</v>
      </c>
      <c r="F40" s="14">
        <v>630</v>
      </c>
      <c r="H40" s="19">
        <v>252.9066</v>
      </c>
      <c r="I40" s="16"/>
      <c r="J40" s="185">
        <v>0.2</v>
      </c>
      <c r="K40" s="242">
        <v>7</v>
      </c>
      <c r="L40" s="14">
        <f t="shared" si="17"/>
        <v>504</v>
      </c>
      <c r="M40" s="16"/>
      <c r="N40" s="16">
        <v>263.37573399999997</v>
      </c>
      <c r="O40" s="17">
        <f t="shared" si="18"/>
        <v>10.469133999999968</v>
      </c>
      <c r="P40" s="18">
        <f t="shared" si="19"/>
        <v>4.1395258170407449E-2</v>
      </c>
      <c r="Q40" s="16"/>
      <c r="R40" s="16">
        <v>265.09573399999999</v>
      </c>
      <c r="S40" s="17">
        <f t="shared" si="7"/>
        <v>12.189133999999996</v>
      </c>
      <c r="T40" s="20">
        <f t="shared" si="20"/>
        <v>4.8196187841677507E-2</v>
      </c>
      <c r="V40" s="239">
        <v>0.2</v>
      </c>
      <c r="W40" s="240">
        <v>7</v>
      </c>
      <c r="X40" s="240">
        <f t="shared" si="21"/>
        <v>504</v>
      </c>
      <c r="Z40" s="17">
        <v>252.66793999999999</v>
      </c>
      <c r="AA40" s="17">
        <f t="shared" si="8"/>
        <v>-0.23866000000001009</v>
      </c>
      <c r="AB40" s="20">
        <f t="shared" si="9"/>
        <v>-9.4366853217753147E-4</v>
      </c>
      <c r="AD40" s="17">
        <v>254.22793999999999</v>
      </c>
      <c r="AE40" s="17">
        <f t="shared" si="10"/>
        <v>1.3213399999999922</v>
      </c>
      <c r="AF40" s="20">
        <f t="shared" si="11"/>
        <v>5.2246165185091736E-3</v>
      </c>
      <c r="AH40" s="239">
        <v>0.2</v>
      </c>
      <c r="AI40" s="240">
        <v>7</v>
      </c>
      <c r="AJ40" s="240">
        <f t="shared" si="12"/>
        <v>504</v>
      </c>
      <c r="AL40" s="17">
        <v>240.77928</v>
      </c>
      <c r="AM40" s="17">
        <f t="shared" si="13"/>
        <v>-12.127319999999997</v>
      </c>
      <c r="AN40" s="20">
        <f t="shared" si="14"/>
        <v>-4.7951773500572926E-2</v>
      </c>
      <c r="AP40" s="17">
        <v>242.15928</v>
      </c>
      <c r="AQ40" s="17">
        <f t="shared" si="15"/>
        <v>-10.747320000000002</v>
      </c>
      <c r="AR40" s="20">
        <f t="shared" si="16"/>
        <v>-4.2495213648042408E-2</v>
      </c>
    </row>
    <row r="41" spans="1:44" x14ac:dyDescent="0.3">
      <c r="A41" s="1">
        <f t="shared" si="0"/>
        <v>41</v>
      </c>
      <c r="B41" s="13" t="s">
        <v>17</v>
      </c>
      <c r="C41" s="13" t="s">
        <v>17</v>
      </c>
      <c r="D41" s="2" t="s">
        <v>25</v>
      </c>
      <c r="E41" s="14">
        <v>10</v>
      </c>
      <c r="F41" s="14">
        <v>2300</v>
      </c>
      <c r="H41" s="19">
        <v>606.71600000000001</v>
      </c>
      <c r="I41" s="16"/>
      <c r="J41" s="185">
        <v>0.2</v>
      </c>
      <c r="K41" s="242">
        <v>10</v>
      </c>
      <c r="L41" s="14">
        <f t="shared" si="17"/>
        <v>1840</v>
      </c>
      <c r="M41" s="16"/>
      <c r="N41" s="16">
        <v>644.95013999999992</v>
      </c>
      <c r="O41" s="17">
        <f t="shared" si="18"/>
        <v>38.234139999999911</v>
      </c>
      <c r="P41" s="18">
        <f t="shared" si="19"/>
        <v>6.3018183136755765E-2</v>
      </c>
      <c r="Q41" s="16"/>
      <c r="R41" s="16">
        <v>651.21013999999991</v>
      </c>
      <c r="S41" s="17">
        <f t="shared" si="7"/>
        <v>44.494139999999902</v>
      </c>
      <c r="T41" s="20">
        <f t="shared" si="20"/>
        <v>7.3336025422108375E-2</v>
      </c>
      <c r="V41" s="239">
        <v>0.2</v>
      </c>
      <c r="W41" s="240">
        <v>10</v>
      </c>
      <c r="X41" s="240">
        <f t="shared" si="21"/>
        <v>1840</v>
      </c>
      <c r="Z41" s="17">
        <v>605.85739999999998</v>
      </c>
      <c r="AA41" s="17">
        <f t="shared" si="8"/>
        <v>-0.85860000000002401</v>
      </c>
      <c r="AB41" s="20">
        <f t="shared" si="9"/>
        <v>-1.4151596463584677E-3</v>
      </c>
      <c r="AD41" s="17">
        <v>611.54739999999993</v>
      </c>
      <c r="AE41" s="17">
        <f t="shared" si="10"/>
        <v>4.8313999999999169</v>
      </c>
      <c r="AF41" s="20">
        <f t="shared" si="11"/>
        <v>7.9631985970370269E-3</v>
      </c>
      <c r="AH41" s="239">
        <v>0.2</v>
      </c>
      <c r="AI41" s="240">
        <v>10</v>
      </c>
      <c r="AJ41" s="240">
        <f t="shared" si="12"/>
        <v>1840</v>
      </c>
      <c r="AL41" s="17">
        <v>562.42880000000002</v>
      </c>
      <c r="AM41" s="17">
        <f t="shared" si="13"/>
        <v>-44.287199999999984</v>
      </c>
      <c r="AN41" s="20">
        <f t="shared" si="14"/>
        <v>-7.2994943268349585E-2</v>
      </c>
      <c r="AP41" s="17">
        <v>567.48880000000008</v>
      </c>
      <c r="AQ41" s="17">
        <f t="shared" si="15"/>
        <v>-39.227199999999925</v>
      </c>
      <c r="AR41" s="20">
        <f t="shared" si="16"/>
        <v>-6.465496212395902E-2</v>
      </c>
    </row>
    <row r="42" spans="1:44" x14ac:dyDescent="0.3">
      <c r="A42" s="1">
        <f t="shared" si="0"/>
        <v>42</v>
      </c>
      <c r="B42" s="13" t="s">
        <v>17</v>
      </c>
      <c r="C42" s="13" t="s">
        <v>17</v>
      </c>
      <c r="D42" s="2" t="s">
        <v>25</v>
      </c>
      <c r="E42" s="14">
        <v>11</v>
      </c>
      <c r="F42" s="14">
        <v>4565</v>
      </c>
      <c r="H42" s="19">
        <v>1015.6383</v>
      </c>
      <c r="I42" s="16"/>
      <c r="J42" s="185">
        <v>0.2</v>
      </c>
      <c r="K42" s="242">
        <v>11</v>
      </c>
      <c r="L42" s="14">
        <f t="shared" si="17"/>
        <v>3652</v>
      </c>
      <c r="M42" s="16"/>
      <c r="N42" s="16">
        <v>1091.515517</v>
      </c>
      <c r="O42" s="17">
        <f t="shared" si="18"/>
        <v>75.877217000000087</v>
      </c>
      <c r="P42" s="18">
        <f t="shared" si="19"/>
        <v>7.4708896858261542E-2</v>
      </c>
      <c r="Q42" s="16"/>
      <c r="R42" s="16">
        <v>1103.9455170000001</v>
      </c>
      <c r="S42" s="17">
        <f t="shared" si="7"/>
        <v>88.307217000000151</v>
      </c>
      <c r="T42" s="20">
        <f t="shared" si="20"/>
        <v>8.6947505819739326E-2</v>
      </c>
      <c r="V42" s="239">
        <v>0.2</v>
      </c>
      <c r="W42" s="240">
        <v>11</v>
      </c>
      <c r="X42" s="240">
        <f t="shared" si="21"/>
        <v>3652</v>
      </c>
      <c r="Z42" s="17">
        <v>1013.93047</v>
      </c>
      <c r="AA42" s="17">
        <f t="shared" si="8"/>
        <v>-1.7078299999999444</v>
      </c>
      <c r="AB42" s="20">
        <f t="shared" si="9"/>
        <v>-1.6815336719774594E-3</v>
      </c>
      <c r="AD42" s="17">
        <v>1025.23047</v>
      </c>
      <c r="AE42" s="17">
        <f t="shared" si="10"/>
        <v>9.5921700000000101</v>
      </c>
      <c r="AF42" s="20">
        <f t="shared" si="11"/>
        <v>9.4444744748204256E-3</v>
      </c>
      <c r="AH42" s="239">
        <v>0.2</v>
      </c>
      <c r="AI42" s="240">
        <v>11</v>
      </c>
      <c r="AJ42" s="240">
        <f t="shared" si="12"/>
        <v>3652</v>
      </c>
      <c r="AL42" s="17">
        <v>927.72263999999996</v>
      </c>
      <c r="AM42" s="17">
        <f t="shared" si="13"/>
        <v>-87.915660000000003</v>
      </c>
      <c r="AN42" s="20">
        <f t="shared" si="14"/>
        <v>-8.6561977822222747E-2</v>
      </c>
      <c r="AP42" s="17">
        <v>937.76263999999992</v>
      </c>
      <c r="AQ42" s="17">
        <f t="shared" si="15"/>
        <v>-77.875660000000039</v>
      </c>
      <c r="AR42" s="20">
        <f t="shared" si="16"/>
        <v>-7.6676568813917365E-2</v>
      </c>
    </row>
    <row r="43" spans="1:44" x14ac:dyDescent="0.3">
      <c r="A43" s="1">
        <f t="shared" si="0"/>
        <v>43</v>
      </c>
      <c r="B43" s="13"/>
      <c r="F43" s="14"/>
      <c r="H43" s="19"/>
      <c r="I43" s="19"/>
      <c r="J43" s="185"/>
      <c r="K43" s="242"/>
      <c r="L43" s="14"/>
      <c r="M43" s="19"/>
      <c r="N43" s="16"/>
      <c r="O43" s="17"/>
      <c r="P43" s="18"/>
      <c r="Q43" s="19"/>
      <c r="R43" s="16"/>
      <c r="S43" s="17"/>
      <c r="T43" s="20"/>
      <c r="V43" s="239"/>
      <c r="W43" s="240"/>
      <c r="X43" s="240"/>
      <c r="Z43" s="17"/>
      <c r="AA43" s="17"/>
      <c r="AB43" s="20"/>
      <c r="AD43" s="17"/>
      <c r="AE43" s="17"/>
      <c r="AF43" s="20"/>
      <c r="AH43" s="239"/>
      <c r="AI43" s="240"/>
      <c r="AJ43" s="240"/>
      <c r="AL43" s="17"/>
      <c r="AM43" s="17"/>
      <c r="AN43" s="20"/>
      <c r="AP43" s="17"/>
      <c r="AQ43" s="17"/>
      <c r="AR43" s="20"/>
    </row>
    <row r="44" spans="1:44" x14ac:dyDescent="0.3">
      <c r="A44" s="1">
        <f t="shared" si="0"/>
        <v>44</v>
      </c>
      <c r="B44" s="2" t="s">
        <v>15</v>
      </c>
      <c r="C44" s="2" t="s">
        <v>21</v>
      </c>
      <c r="D44" s="2" t="s">
        <v>26</v>
      </c>
      <c r="E44" s="14">
        <v>260</v>
      </c>
      <c r="F44" s="14">
        <v>63700</v>
      </c>
      <c r="H44" s="19">
        <v>17120.349999999999</v>
      </c>
      <c r="I44" s="16"/>
      <c r="J44" s="185">
        <v>0.2</v>
      </c>
      <c r="K44" s="242">
        <v>260</v>
      </c>
      <c r="L44" s="14">
        <f t="shared" si="17"/>
        <v>50960</v>
      </c>
      <c r="M44" s="16"/>
      <c r="N44" s="16">
        <v>18199.02</v>
      </c>
      <c r="O44" s="17">
        <f t="shared" si="18"/>
        <v>1078.6700000000019</v>
      </c>
      <c r="P44" s="18">
        <f t="shared" si="19"/>
        <v>6.300513716133152E-2</v>
      </c>
      <c r="Q44" s="16"/>
      <c r="R44" s="16">
        <v>18372.439999999999</v>
      </c>
      <c r="S44" s="17">
        <f t="shared" si="7"/>
        <v>1252.0900000000001</v>
      </c>
      <c r="T44" s="20">
        <f t="shared" si="20"/>
        <v>7.3134602972485974E-2</v>
      </c>
      <c r="V44" s="239">
        <v>0.2</v>
      </c>
      <c r="W44" s="240">
        <v>260</v>
      </c>
      <c r="X44" s="240">
        <f t="shared" si="21"/>
        <v>50960</v>
      </c>
      <c r="Z44" s="17">
        <v>17295.330000000002</v>
      </c>
      <c r="AA44" s="17">
        <f t="shared" si="8"/>
        <v>174.9800000000032</v>
      </c>
      <c r="AB44" s="20">
        <f t="shared" si="9"/>
        <v>1.0220585443638899E-2</v>
      </c>
      <c r="AD44" s="17">
        <v>17452.990000000002</v>
      </c>
      <c r="AE44" s="17">
        <f t="shared" si="10"/>
        <v>332.64000000000306</v>
      </c>
      <c r="AF44" s="20">
        <f t="shared" si="11"/>
        <v>1.9429509326620256E-2</v>
      </c>
      <c r="AH44" s="239">
        <v>0.2</v>
      </c>
      <c r="AI44" s="240">
        <v>260</v>
      </c>
      <c r="AJ44" s="240">
        <f t="shared" si="12"/>
        <v>50960</v>
      </c>
      <c r="AL44" s="17">
        <v>16291.220000000001</v>
      </c>
      <c r="AM44" s="17">
        <f t="shared" si="13"/>
        <v>-829.12999999999738</v>
      </c>
      <c r="AN44" s="20">
        <f t="shared" si="14"/>
        <v>-4.8429500565116801E-2</v>
      </c>
      <c r="AP44" s="17">
        <v>16431.36</v>
      </c>
      <c r="AQ44" s="17">
        <f t="shared" si="15"/>
        <v>-688.98999999999796</v>
      </c>
      <c r="AR44" s="20">
        <f t="shared" si="16"/>
        <v>-4.024392024695745E-2</v>
      </c>
    </row>
    <row r="45" spans="1:44" x14ac:dyDescent="0.3">
      <c r="A45" s="1">
        <f t="shared" si="0"/>
        <v>45</v>
      </c>
      <c r="B45" s="2" t="s">
        <v>15</v>
      </c>
      <c r="C45" s="2" t="s">
        <v>21</v>
      </c>
      <c r="D45" s="2" t="s">
        <v>26</v>
      </c>
      <c r="E45" s="14">
        <v>285</v>
      </c>
      <c r="F45" s="14">
        <v>111150</v>
      </c>
      <c r="H45" s="19">
        <v>24505.089999999997</v>
      </c>
      <c r="I45" s="16"/>
      <c r="J45" s="185">
        <v>0.2</v>
      </c>
      <c r="K45" s="242">
        <v>285</v>
      </c>
      <c r="L45" s="14">
        <f t="shared" si="17"/>
        <v>88920</v>
      </c>
      <c r="M45" s="16"/>
      <c r="N45" s="16">
        <v>26387.260000000002</v>
      </c>
      <c r="O45" s="17">
        <f t="shared" si="18"/>
        <v>1882.1700000000055</v>
      </c>
      <c r="P45" s="18">
        <f t="shared" si="19"/>
        <v>7.6807308195970952E-2</v>
      </c>
      <c r="Q45" s="16"/>
      <c r="R45" s="16">
        <v>26689.87</v>
      </c>
      <c r="S45" s="17">
        <f t="shared" si="7"/>
        <v>2184.7800000000025</v>
      </c>
      <c r="T45" s="20">
        <f t="shared" si="20"/>
        <v>8.9156171228100073E-2</v>
      </c>
      <c r="V45" s="239">
        <v>0.2</v>
      </c>
      <c r="W45" s="240">
        <v>285</v>
      </c>
      <c r="X45" s="240">
        <f t="shared" si="21"/>
        <v>88920</v>
      </c>
      <c r="Z45" s="17">
        <v>24810.42</v>
      </c>
      <c r="AA45" s="17">
        <f t="shared" si="8"/>
        <v>305.33000000000175</v>
      </c>
      <c r="AB45" s="20">
        <f t="shared" si="9"/>
        <v>1.2459860380027244E-2</v>
      </c>
      <c r="AD45" s="17">
        <v>25085.510000000002</v>
      </c>
      <c r="AE45" s="17">
        <f t="shared" si="10"/>
        <v>580.42000000000553</v>
      </c>
      <c r="AF45" s="20">
        <f t="shared" si="11"/>
        <v>2.3685691421659973E-2</v>
      </c>
      <c r="AH45" s="239">
        <v>0.2</v>
      </c>
      <c r="AI45" s="240">
        <v>285</v>
      </c>
      <c r="AJ45" s="240">
        <f t="shared" si="12"/>
        <v>88920</v>
      </c>
      <c r="AL45" s="17">
        <v>23058.36</v>
      </c>
      <c r="AM45" s="17">
        <f t="shared" si="13"/>
        <v>-1446.7299999999959</v>
      </c>
      <c r="AN45" s="20">
        <f t="shared" si="14"/>
        <v>-5.9037938648664259E-2</v>
      </c>
      <c r="AP45" s="17">
        <v>23302.89</v>
      </c>
      <c r="AQ45" s="17">
        <f t="shared" si="15"/>
        <v>-1202.1999999999971</v>
      </c>
      <c r="AR45" s="20">
        <f t="shared" si="16"/>
        <v>-4.9059195456943733E-2</v>
      </c>
    </row>
    <row r="46" spans="1:44" x14ac:dyDescent="0.3">
      <c r="A46" s="1">
        <f t="shared" si="0"/>
        <v>46</v>
      </c>
      <c r="B46" s="2" t="s">
        <v>15</v>
      </c>
      <c r="C46" s="2" t="s">
        <v>21</v>
      </c>
      <c r="D46" s="2" t="s">
        <v>26</v>
      </c>
      <c r="E46" s="14">
        <v>308</v>
      </c>
      <c r="F46" s="14">
        <v>164780</v>
      </c>
      <c r="H46" s="19">
        <v>32736.91</v>
      </c>
      <c r="I46" s="16"/>
      <c r="J46" s="185">
        <v>0.2</v>
      </c>
      <c r="K46" s="242">
        <v>308</v>
      </c>
      <c r="L46" s="14">
        <f t="shared" si="17"/>
        <v>131824</v>
      </c>
      <c r="M46" s="16"/>
      <c r="N46" s="16">
        <v>35527.240000000005</v>
      </c>
      <c r="O46" s="17">
        <f t="shared" si="18"/>
        <v>2790.3300000000054</v>
      </c>
      <c r="P46" s="18">
        <f t="shared" si="19"/>
        <v>8.523498399818448E-2</v>
      </c>
      <c r="Q46" s="16"/>
      <c r="R46" s="16">
        <v>35975.86</v>
      </c>
      <c r="S46" s="17">
        <f t="shared" si="7"/>
        <v>3238.9500000000007</v>
      </c>
      <c r="T46" s="20">
        <f t="shared" si="20"/>
        <v>9.8938781943683773E-2</v>
      </c>
      <c r="V46" s="239">
        <v>0.2</v>
      </c>
      <c r="W46" s="240">
        <v>308</v>
      </c>
      <c r="X46" s="240">
        <f t="shared" si="21"/>
        <v>131824</v>
      </c>
      <c r="Z46" s="17">
        <v>33189.56</v>
      </c>
      <c r="AA46" s="17">
        <f t="shared" si="8"/>
        <v>452.64999999999782</v>
      </c>
      <c r="AB46" s="20">
        <f t="shared" si="9"/>
        <v>1.3826900584080716E-2</v>
      </c>
      <c r="AD46" s="17">
        <v>33597.39</v>
      </c>
      <c r="AE46" s="17">
        <f t="shared" si="10"/>
        <v>860.47999999999956</v>
      </c>
      <c r="AF46" s="20">
        <f t="shared" si="11"/>
        <v>2.6284704329150171E-2</v>
      </c>
      <c r="AH46" s="239">
        <v>0.2</v>
      </c>
      <c r="AI46" s="240">
        <v>308</v>
      </c>
      <c r="AJ46" s="240">
        <f t="shared" si="12"/>
        <v>131824</v>
      </c>
      <c r="AL46" s="17">
        <v>30592.14</v>
      </c>
      <c r="AM46" s="17">
        <f t="shared" si="13"/>
        <v>-2144.7700000000004</v>
      </c>
      <c r="AN46" s="20">
        <f t="shared" si="14"/>
        <v>-6.5515346439233277E-2</v>
      </c>
      <c r="AP46" s="17">
        <v>30954.65</v>
      </c>
      <c r="AQ46" s="17">
        <f t="shared" si="15"/>
        <v>-1782.2599999999984</v>
      </c>
      <c r="AR46" s="20">
        <f t="shared" si="16"/>
        <v>-5.4441912813396207E-2</v>
      </c>
    </row>
    <row r="47" spans="1:44" x14ac:dyDescent="0.3">
      <c r="A47" s="1">
        <f t="shared" si="0"/>
        <v>47</v>
      </c>
      <c r="F47" s="14"/>
      <c r="H47" s="19"/>
      <c r="I47" s="19"/>
      <c r="J47" s="185"/>
      <c r="K47" s="242"/>
      <c r="L47" s="14"/>
      <c r="M47" s="19"/>
      <c r="N47" s="16"/>
      <c r="O47" s="17"/>
      <c r="P47" s="18"/>
      <c r="Q47" s="19"/>
      <c r="R47" s="16"/>
      <c r="S47" s="17"/>
      <c r="T47" s="20"/>
      <c r="V47" s="239"/>
      <c r="W47" s="240"/>
      <c r="X47" s="240"/>
      <c r="Z47" s="17"/>
      <c r="AA47" s="17"/>
      <c r="AB47" s="20"/>
      <c r="AD47" s="17"/>
      <c r="AE47" s="17"/>
      <c r="AF47" s="20"/>
      <c r="AH47" s="239"/>
      <c r="AI47" s="240"/>
      <c r="AJ47" s="240"/>
      <c r="AL47" s="17"/>
      <c r="AM47" s="17"/>
      <c r="AN47" s="20"/>
      <c r="AP47" s="17"/>
      <c r="AQ47" s="17"/>
      <c r="AR47" s="20"/>
    </row>
    <row r="48" spans="1:44" x14ac:dyDescent="0.3">
      <c r="A48" s="1">
        <f t="shared" si="0"/>
        <v>48</v>
      </c>
      <c r="B48" s="2" t="s">
        <v>15</v>
      </c>
      <c r="C48" s="2" t="s">
        <v>21</v>
      </c>
      <c r="D48" s="2" t="s">
        <v>27</v>
      </c>
      <c r="E48" s="14">
        <v>260</v>
      </c>
      <c r="F48" s="14">
        <v>63700</v>
      </c>
      <c r="H48" s="19">
        <v>18038.900000000001</v>
      </c>
      <c r="I48" s="16"/>
      <c r="J48" s="185">
        <v>0.2</v>
      </c>
      <c r="K48" s="242">
        <v>260</v>
      </c>
      <c r="L48" s="14">
        <f t="shared" si="17"/>
        <v>50960</v>
      </c>
      <c r="M48" s="16"/>
      <c r="N48" s="16">
        <v>19108.39</v>
      </c>
      <c r="O48" s="17">
        <f t="shared" si="18"/>
        <v>1069.489999999998</v>
      </c>
      <c r="P48" s="18">
        <f t="shared" si="19"/>
        <v>5.9287983191879653E-2</v>
      </c>
      <c r="Q48" s="16"/>
      <c r="R48" s="16">
        <v>19281.809999999998</v>
      </c>
      <c r="S48" s="17">
        <f t="shared" si="7"/>
        <v>1242.9099999999962</v>
      </c>
      <c r="T48" s="20">
        <f t="shared" si="20"/>
        <v>6.890165143107374E-2</v>
      </c>
      <c r="V48" s="239">
        <v>0.2</v>
      </c>
      <c r="W48" s="240">
        <v>260</v>
      </c>
      <c r="X48" s="240">
        <f t="shared" si="21"/>
        <v>50960</v>
      </c>
      <c r="Z48" s="17">
        <v>18122.02</v>
      </c>
      <c r="AA48" s="17">
        <f t="shared" si="8"/>
        <v>83.119999999998981</v>
      </c>
      <c r="AB48" s="20">
        <f t="shared" si="9"/>
        <v>4.6078197672806531E-3</v>
      </c>
      <c r="AD48" s="17">
        <v>18279.68</v>
      </c>
      <c r="AE48" s="17">
        <f t="shared" si="10"/>
        <v>240.77999999999884</v>
      </c>
      <c r="AF48" s="20">
        <f t="shared" si="11"/>
        <v>1.3347820543381182E-2</v>
      </c>
      <c r="AH48" s="239">
        <v>0.2</v>
      </c>
      <c r="AI48" s="240">
        <v>260</v>
      </c>
      <c r="AJ48" s="240">
        <f t="shared" si="12"/>
        <v>50960</v>
      </c>
      <c r="AL48" s="17">
        <v>17026.07</v>
      </c>
      <c r="AM48" s="17">
        <f t="shared" si="13"/>
        <v>-1012.8300000000017</v>
      </c>
      <c r="AN48" s="20">
        <f t="shared" si="14"/>
        <v>-5.6146993441950545E-2</v>
      </c>
      <c r="AP48" s="17">
        <v>17166.21</v>
      </c>
      <c r="AQ48" s="17">
        <f t="shared" si="15"/>
        <v>-872.69000000000233</v>
      </c>
      <c r="AR48" s="20">
        <f t="shared" si="16"/>
        <v>-4.8378227053756176E-2</v>
      </c>
    </row>
    <row r="49" spans="1:44" x14ac:dyDescent="0.3">
      <c r="A49" s="1">
        <f t="shared" si="0"/>
        <v>49</v>
      </c>
      <c r="B49" s="2" t="s">
        <v>15</v>
      </c>
      <c r="C49" s="2" t="s">
        <v>21</v>
      </c>
      <c r="D49" s="2" t="s">
        <v>27</v>
      </c>
      <c r="E49" s="14">
        <v>285</v>
      </c>
      <c r="F49" s="14">
        <v>111150</v>
      </c>
      <c r="H49" s="19">
        <v>26107.87</v>
      </c>
      <c r="I49" s="16"/>
      <c r="J49" s="185">
        <v>0.2</v>
      </c>
      <c r="K49" s="242">
        <v>285</v>
      </c>
      <c r="L49" s="14">
        <f t="shared" si="17"/>
        <v>88920</v>
      </c>
      <c r="M49" s="16"/>
      <c r="N49" s="16">
        <v>27974.02</v>
      </c>
      <c r="O49" s="17">
        <f t="shared" si="18"/>
        <v>1866.1500000000015</v>
      </c>
      <c r="P49" s="18">
        <f t="shared" si="19"/>
        <v>7.1478446920411415E-2</v>
      </c>
      <c r="Q49" s="16"/>
      <c r="R49" s="16">
        <v>28276.629999999997</v>
      </c>
      <c r="S49" s="17">
        <f t="shared" si="7"/>
        <v>2168.7599999999984</v>
      </c>
      <c r="T49" s="20">
        <f t="shared" si="20"/>
        <v>8.3069204802996122E-2</v>
      </c>
      <c r="V49" s="239">
        <v>0.2</v>
      </c>
      <c r="W49" s="240">
        <v>285</v>
      </c>
      <c r="X49" s="240">
        <f t="shared" si="21"/>
        <v>88920</v>
      </c>
      <c r="Z49" s="17">
        <v>26252.92</v>
      </c>
      <c r="AA49" s="17">
        <f t="shared" si="8"/>
        <v>145.04999999999927</v>
      </c>
      <c r="AB49" s="20">
        <f t="shared" si="9"/>
        <v>5.5557960109346065E-3</v>
      </c>
      <c r="AD49" s="17">
        <v>26528.010000000002</v>
      </c>
      <c r="AE49" s="17">
        <f t="shared" si="10"/>
        <v>420.14000000000306</v>
      </c>
      <c r="AF49" s="20">
        <f t="shared" si="11"/>
        <v>1.6092465605198857E-2</v>
      </c>
      <c r="AH49" s="239">
        <v>0.2</v>
      </c>
      <c r="AI49" s="240">
        <v>285</v>
      </c>
      <c r="AJ49" s="240">
        <f t="shared" si="12"/>
        <v>88920</v>
      </c>
      <c r="AL49" s="17">
        <v>24340.59</v>
      </c>
      <c r="AM49" s="17">
        <f t="shared" si="13"/>
        <v>-1767.2799999999988</v>
      </c>
      <c r="AN49" s="20">
        <f t="shared" si="14"/>
        <v>-6.769146621306138E-2</v>
      </c>
      <c r="AP49" s="17">
        <v>24585.120000000003</v>
      </c>
      <c r="AQ49" s="17">
        <f t="shared" si="15"/>
        <v>-1522.7499999999964</v>
      </c>
      <c r="AR49" s="20">
        <f t="shared" si="16"/>
        <v>-5.8325324892455663E-2</v>
      </c>
    </row>
    <row r="50" spans="1:44" x14ac:dyDescent="0.3">
      <c r="A50" s="1">
        <f t="shared" si="0"/>
        <v>50</v>
      </c>
      <c r="B50" s="2" t="s">
        <v>15</v>
      </c>
      <c r="C50" s="2" t="s">
        <v>21</v>
      </c>
      <c r="D50" s="2" t="s">
        <v>27</v>
      </c>
      <c r="E50" s="14">
        <v>308</v>
      </c>
      <c r="F50" s="14">
        <v>164780</v>
      </c>
      <c r="H50" s="19">
        <v>35113.040000000001</v>
      </c>
      <c r="I50" s="16"/>
      <c r="J50" s="185">
        <v>0.2</v>
      </c>
      <c r="K50" s="242">
        <v>308</v>
      </c>
      <c r="L50" s="14">
        <f t="shared" si="17"/>
        <v>131824</v>
      </c>
      <c r="M50" s="16"/>
      <c r="N50" s="16">
        <v>37879.61</v>
      </c>
      <c r="O50" s="17">
        <f t="shared" si="18"/>
        <v>2766.5699999999997</v>
      </c>
      <c r="P50" s="18">
        <f t="shared" si="19"/>
        <v>7.8790386705337945E-2</v>
      </c>
      <c r="Q50" s="16"/>
      <c r="R50" s="16">
        <v>38328.230000000003</v>
      </c>
      <c r="S50" s="17">
        <f t="shared" si="7"/>
        <v>3215.1900000000023</v>
      </c>
      <c r="T50" s="20">
        <f t="shared" si="20"/>
        <v>9.1566836707958135E-2</v>
      </c>
      <c r="V50" s="239">
        <v>0.2</v>
      </c>
      <c r="W50" s="240">
        <v>308</v>
      </c>
      <c r="X50" s="240">
        <f t="shared" si="21"/>
        <v>131824</v>
      </c>
      <c r="Z50" s="17">
        <v>35328.080000000002</v>
      </c>
      <c r="AA50" s="17">
        <f t="shared" si="8"/>
        <v>215.04000000000087</v>
      </c>
      <c r="AB50" s="20">
        <f t="shared" si="9"/>
        <v>6.1242205175057723E-3</v>
      </c>
      <c r="AD50" s="17">
        <v>35735.910000000003</v>
      </c>
      <c r="AE50" s="17">
        <f t="shared" si="10"/>
        <v>622.87000000000262</v>
      </c>
      <c r="AF50" s="20">
        <f t="shared" si="11"/>
        <v>1.7738993832490797E-2</v>
      </c>
      <c r="AH50" s="239">
        <v>0.2</v>
      </c>
      <c r="AI50" s="240">
        <v>308</v>
      </c>
      <c r="AJ50" s="240">
        <f t="shared" si="12"/>
        <v>131824</v>
      </c>
      <c r="AL50" s="17">
        <v>32493.040000000001</v>
      </c>
      <c r="AM50" s="17">
        <f t="shared" si="13"/>
        <v>-2620</v>
      </c>
      <c r="AN50" s="20">
        <f t="shared" si="14"/>
        <v>-7.4616153998628434E-2</v>
      </c>
      <c r="AP50" s="17">
        <v>32855.550000000003</v>
      </c>
      <c r="AQ50" s="17">
        <f t="shared" si="15"/>
        <v>-2257.489999999998</v>
      </c>
      <c r="AR50" s="20">
        <f t="shared" si="16"/>
        <v>-6.4292069271131125E-2</v>
      </c>
    </row>
    <row r="51" spans="1:44" x14ac:dyDescent="0.3">
      <c r="A51" s="1">
        <f t="shared" si="0"/>
        <v>51</v>
      </c>
      <c r="F51" s="14"/>
      <c r="H51" s="19"/>
      <c r="I51" s="19"/>
      <c r="J51" s="185"/>
      <c r="K51" s="242"/>
      <c r="L51" s="14"/>
      <c r="M51" s="19"/>
      <c r="N51" s="16"/>
      <c r="O51" s="17"/>
      <c r="P51" s="18"/>
      <c r="Q51" s="19"/>
      <c r="R51" s="16"/>
      <c r="S51" s="17"/>
      <c r="T51" s="20"/>
      <c r="V51" s="239"/>
      <c r="W51" s="240"/>
      <c r="X51" s="240"/>
      <c r="Z51" s="17"/>
      <c r="AA51" s="17"/>
      <c r="AB51" s="20"/>
      <c r="AD51" s="17"/>
      <c r="AE51" s="17"/>
      <c r="AF51" s="20"/>
      <c r="AH51" s="239"/>
      <c r="AI51" s="240"/>
      <c r="AJ51" s="240"/>
      <c r="AL51" s="17"/>
      <c r="AM51" s="17"/>
      <c r="AN51" s="20"/>
      <c r="AP51" s="17"/>
      <c r="AQ51" s="17"/>
      <c r="AR51" s="20"/>
    </row>
    <row r="52" spans="1:44" x14ac:dyDescent="0.3">
      <c r="A52" s="1">
        <f t="shared" si="0"/>
        <v>52</v>
      </c>
      <c r="B52" s="2" t="s">
        <v>15</v>
      </c>
      <c r="C52" s="2" t="s">
        <v>23</v>
      </c>
      <c r="D52" s="2" t="s">
        <v>28</v>
      </c>
      <c r="E52" s="14">
        <v>332</v>
      </c>
      <c r="F52" s="14">
        <v>94620</v>
      </c>
      <c r="H52" s="19">
        <v>20552.84</v>
      </c>
      <c r="I52" s="19"/>
      <c r="J52" s="185">
        <v>0.2</v>
      </c>
      <c r="K52" s="242">
        <v>332</v>
      </c>
      <c r="L52" s="14">
        <f t="shared" si="17"/>
        <v>75696</v>
      </c>
      <c r="M52" s="19"/>
      <c r="N52" s="16">
        <v>22141.699999999997</v>
      </c>
      <c r="O52" s="17">
        <f t="shared" si="18"/>
        <v>1588.8599999999969</v>
      </c>
      <c r="P52" s="18">
        <f t="shared" si="19"/>
        <v>7.7306104655122942E-2</v>
      </c>
      <c r="Q52" s="19"/>
      <c r="R52" s="16">
        <v>22399.3</v>
      </c>
      <c r="S52" s="17">
        <f t="shared" si="7"/>
        <v>1846.4599999999991</v>
      </c>
      <c r="T52" s="20">
        <f t="shared" si="20"/>
        <v>8.9839652330286179E-2</v>
      </c>
      <c r="V52" s="239">
        <v>0.2</v>
      </c>
      <c r="W52" s="240">
        <v>332</v>
      </c>
      <c r="X52" s="240">
        <f t="shared" si="21"/>
        <v>75696</v>
      </c>
      <c r="Z52" s="17">
        <v>20678.77</v>
      </c>
      <c r="AA52" s="17">
        <f t="shared" si="8"/>
        <v>125.93000000000029</v>
      </c>
      <c r="AB52" s="20">
        <f t="shared" si="9"/>
        <v>6.1271337683746034E-3</v>
      </c>
      <c r="AD52" s="17">
        <v>20912.96</v>
      </c>
      <c r="AE52" s="17">
        <f t="shared" si="10"/>
        <v>360.11999999999898</v>
      </c>
      <c r="AF52" s="20">
        <f t="shared" si="11"/>
        <v>1.7521666105511403E-2</v>
      </c>
      <c r="AH52" s="239">
        <v>0.2</v>
      </c>
      <c r="AI52" s="240">
        <v>332</v>
      </c>
      <c r="AJ52" s="240">
        <f t="shared" si="12"/>
        <v>75696</v>
      </c>
      <c r="AL52" s="17">
        <v>19053.29</v>
      </c>
      <c r="AM52" s="17">
        <f t="shared" si="13"/>
        <v>-1499.5499999999993</v>
      </c>
      <c r="AN52" s="20">
        <f t="shared" si="14"/>
        <v>-7.2960719783737887E-2</v>
      </c>
      <c r="AP52" s="17">
        <v>19261.46</v>
      </c>
      <c r="AQ52" s="17">
        <f t="shared" si="15"/>
        <v>-1291.380000000001</v>
      </c>
      <c r="AR52" s="20">
        <f t="shared" si="16"/>
        <v>-6.2832192533975886E-2</v>
      </c>
    </row>
    <row r="53" spans="1:44" x14ac:dyDescent="0.3">
      <c r="A53" s="1">
        <f t="shared" si="0"/>
        <v>53</v>
      </c>
      <c r="B53" s="2" t="s">
        <v>15</v>
      </c>
      <c r="C53" s="2" t="s">
        <v>23</v>
      </c>
      <c r="D53" s="2" t="s">
        <v>28</v>
      </c>
      <c r="E53" s="14">
        <v>370</v>
      </c>
      <c r="F53" s="14">
        <v>157250</v>
      </c>
      <c r="H53" s="19">
        <v>30832.59</v>
      </c>
      <c r="I53" s="19"/>
      <c r="J53" s="185">
        <v>0.2</v>
      </c>
      <c r="K53" s="242">
        <v>370</v>
      </c>
      <c r="L53" s="14">
        <f t="shared" si="17"/>
        <v>125800</v>
      </c>
      <c r="M53" s="19"/>
      <c r="N53" s="16">
        <v>33473.14</v>
      </c>
      <c r="O53" s="17">
        <f t="shared" si="18"/>
        <v>2640.5499999999993</v>
      </c>
      <c r="P53" s="18">
        <f>+O53/H53</f>
        <v>8.5641524114581327E-2</v>
      </c>
      <c r="Q53" s="19"/>
      <c r="R53" s="16">
        <v>33901.25</v>
      </c>
      <c r="S53" s="17">
        <f t="shared" si="7"/>
        <v>3068.66</v>
      </c>
      <c r="T53" s="20">
        <f t="shared" si="20"/>
        <v>9.9526507503910636E-2</v>
      </c>
      <c r="V53" s="239">
        <v>0.2</v>
      </c>
      <c r="W53" s="240">
        <v>370</v>
      </c>
      <c r="X53" s="240">
        <f t="shared" si="21"/>
        <v>125800</v>
      </c>
      <c r="Z53" s="17">
        <v>31041.88</v>
      </c>
      <c r="AA53" s="17">
        <f t="shared" si="8"/>
        <v>209.29000000000087</v>
      </c>
      <c r="AB53" s="20">
        <f t="shared" si="9"/>
        <v>6.7879474283542469E-3</v>
      </c>
      <c r="AD53" s="17">
        <v>31431.08</v>
      </c>
      <c r="AE53" s="17">
        <f t="shared" si="10"/>
        <v>598.4900000000016</v>
      </c>
      <c r="AF53" s="20">
        <f t="shared" si="11"/>
        <v>1.9410954447874849E-2</v>
      </c>
      <c r="AH53" s="239">
        <v>0.2</v>
      </c>
      <c r="AI53" s="240">
        <v>370</v>
      </c>
      <c r="AJ53" s="240">
        <f t="shared" si="12"/>
        <v>125800</v>
      </c>
      <c r="AL53" s="17">
        <v>28340.48</v>
      </c>
      <c r="AM53" s="17">
        <f t="shared" si="13"/>
        <v>-2492.1100000000006</v>
      </c>
      <c r="AN53" s="20">
        <f t="shared" si="14"/>
        <v>-8.0827137778564845E-2</v>
      </c>
      <c r="AP53" s="17">
        <v>28686.43</v>
      </c>
      <c r="AQ53" s="17">
        <f t="shared" si="15"/>
        <v>-2146.16</v>
      </c>
      <c r="AR53" s="20">
        <f t="shared" si="16"/>
        <v>-6.9606867279070617E-2</v>
      </c>
    </row>
    <row r="54" spans="1:44" x14ac:dyDescent="0.3">
      <c r="A54" s="1">
        <f t="shared" si="0"/>
        <v>54</v>
      </c>
      <c r="B54" s="2" t="s">
        <v>15</v>
      </c>
      <c r="C54" s="2" t="s">
        <v>23</v>
      </c>
      <c r="D54" s="2" t="s">
        <v>28</v>
      </c>
      <c r="E54" s="14">
        <v>290</v>
      </c>
      <c r="F54" s="14">
        <v>160950</v>
      </c>
      <c r="H54" s="19">
        <v>29968.510000000002</v>
      </c>
      <c r="I54" s="19"/>
      <c r="J54" s="185">
        <v>0.2</v>
      </c>
      <c r="K54" s="242">
        <v>290</v>
      </c>
      <c r="L54" s="14">
        <f t="shared" si="17"/>
        <v>128760</v>
      </c>
      <c r="M54" s="19"/>
      <c r="N54" s="16">
        <v>32671.21</v>
      </c>
      <c r="O54" s="17">
        <f t="shared" si="18"/>
        <v>2702.6999999999971</v>
      </c>
      <c r="P54" s="18">
        <f t="shared" si="19"/>
        <v>9.0184663835472537E-2</v>
      </c>
      <c r="Q54" s="19"/>
      <c r="R54" s="16">
        <v>33109.39</v>
      </c>
      <c r="S54" s="17">
        <f t="shared" si="7"/>
        <v>3140.8799999999974</v>
      </c>
      <c r="T54" s="20">
        <f t="shared" si="20"/>
        <v>0.10480601137660822</v>
      </c>
      <c r="V54" s="239">
        <v>0.2</v>
      </c>
      <c r="W54" s="240">
        <v>290</v>
      </c>
      <c r="X54" s="240">
        <f t="shared" si="21"/>
        <v>128760</v>
      </c>
      <c r="Z54" s="17">
        <v>30182.739999999998</v>
      </c>
      <c r="AA54" s="17">
        <f t="shared" si="8"/>
        <v>214.22999999999593</v>
      </c>
      <c r="AB54" s="20">
        <f t="shared" si="9"/>
        <v>7.1485035458885311E-3</v>
      </c>
      <c r="AD54" s="17">
        <v>30581.09</v>
      </c>
      <c r="AE54" s="17">
        <f t="shared" si="10"/>
        <v>612.57999999999811</v>
      </c>
      <c r="AF54" s="20">
        <f t="shared" si="11"/>
        <v>2.0440789348552799E-2</v>
      </c>
      <c r="AH54" s="239">
        <v>0.2</v>
      </c>
      <c r="AI54" s="240">
        <v>290</v>
      </c>
      <c r="AJ54" s="240">
        <f t="shared" si="12"/>
        <v>128760</v>
      </c>
      <c r="AL54" s="17">
        <v>27417.78</v>
      </c>
      <c r="AM54" s="17">
        <f t="shared" si="13"/>
        <v>-2550.7300000000032</v>
      </c>
      <c r="AN54" s="20">
        <f t="shared" si="14"/>
        <v>-8.5113674320144814E-2</v>
      </c>
      <c r="AP54" s="17">
        <v>27771.87</v>
      </c>
      <c r="AQ54" s="17">
        <f t="shared" si="15"/>
        <v>-2196.6400000000031</v>
      </c>
      <c r="AR54" s="20">
        <f t="shared" si="16"/>
        <v>-7.3298272086266644E-2</v>
      </c>
    </row>
    <row r="55" spans="1:44" x14ac:dyDescent="0.3">
      <c r="A55" s="1">
        <f t="shared" si="0"/>
        <v>55</v>
      </c>
      <c r="F55" s="14"/>
      <c r="H55" s="19"/>
      <c r="I55" s="19"/>
      <c r="J55" s="185"/>
      <c r="K55" s="242"/>
      <c r="L55" s="14"/>
      <c r="M55" s="19"/>
      <c r="N55" s="16"/>
      <c r="O55" s="17"/>
      <c r="P55" s="18"/>
      <c r="Q55" s="19"/>
      <c r="R55" s="16"/>
      <c r="S55" s="17"/>
      <c r="T55" s="20"/>
      <c r="V55" s="239"/>
      <c r="W55" s="240"/>
      <c r="X55" s="240"/>
      <c r="Z55" s="17"/>
      <c r="AA55" s="17"/>
      <c r="AB55" s="20"/>
      <c r="AD55" s="17"/>
      <c r="AE55" s="17"/>
      <c r="AF55" s="20"/>
      <c r="AH55" s="239"/>
      <c r="AI55" s="240"/>
      <c r="AJ55" s="240"/>
      <c r="AL55" s="17"/>
      <c r="AM55" s="17"/>
      <c r="AN55" s="20"/>
      <c r="AP55" s="17"/>
      <c r="AQ55" s="17"/>
      <c r="AR55" s="20"/>
    </row>
    <row r="56" spans="1:44" x14ac:dyDescent="0.3">
      <c r="A56" s="1">
        <f t="shared" si="0"/>
        <v>56</v>
      </c>
      <c r="B56" s="2" t="s">
        <v>15</v>
      </c>
      <c r="C56" s="2" t="s">
        <v>24</v>
      </c>
      <c r="D56" s="2" t="s">
        <v>28</v>
      </c>
      <c r="E56" s="14">
        <v>215</v>
      </c>
      <c r="F56" s="14">
        <v>39775</v>
      </c>
      <c r="H56" s="19">
        <v>10514.83</v>
      </c>
      <c r="I56" s="19"/>
      <c r="J56" s="185">
        <v>0.2</v>
      </c>
      <c r="K56" s="242">
        <v>215</v>
      </c>
      <c r="L56" s="14">
        <f t="shared" si="17"/>
        <v>31820</v>
      </c>
      <c r="M56" s="19"/>
      <c r="N56" s="16">
        <v>11177.02</v>
      </c>
      <c r="O56" s="17">
        <f t="shared" si="18"/>
        <v>662.19000000000051</v>
      </c>
      <c r="P56" s="18">
        <f t="shared" si="19"/>
        <v>6.2976767099420586E-2</v>
      </c>
      <c r="Q56" s="19"/>
      <c r="R56" s="16">
        <v>11285.31</v>
      </c>
      <c r="S56" s="17">
        <f t="shared" si="7"/>
        <v>770.47999999999956</v>
      </c>
      <c r="T56" s="20">
        <f t="shared" si="20"/>
        <v>7.3275554621425126E-2</v>
      </c>
      <c r="V56" s="239">
        <v>0.2</v>
      </c>
      <c r="W56" s="240">
        <v>215</v>
      </c>
      <c r="X56" s="240">
        <f t="shared" si="21"/>
        <v>31820</v>
      </c>
      <c r="Z56" s="17">
        <v>10510.61</v>
      </c>
      <c r="AA56" s="17">
        <f t="shared" si="8"/>
        <v>-4.2199999999993452</v>
      </c>
      <c r="AB56" s="20">
        <f t="shared" si="9"/>
        <v>-4.0133791987120529E-4</v>
      </c>
      <c r="AD56" s="17">
        <v>10609.060000000001</v>
      </c>
      <c r="AE56" s="17">
        <f t="shared" si="10"/>
        <v>94.230000000001382</v>
      </c>
      <c r="AF56" s="20">
        <f t="shared" si="11"/>
        <v>8.9616284809170849E-3</v>
      </c>
      <c r="AH56" s="239">
        <v>0.2</v>
      </c>
      <c r="AI56" s="240">
        <v>215</v>
      </c>
      <c r="AJ56" s="240">
        <f t="shared" si="12"/>
        <v>31820</v>
      </c>
      <c r="AL56" s="17">
        <v>9770.16</v>
      </c>
      <c r="AM56" s="17">
        <f t="shared" si="13"/>
        <v>-744.67000000000007</v>
      </c>
      <c r="AN56" s="20">
        <f t="shared" si="14"/>
        <v>-7.0820926253681707E-2</v>
      </c>
      <c r="AP56" s="17">
        <v>9857.67</v>
      </c>
      <c r="AQ56" s="17">
        <f t="shared" si="15"/>
        <v>-657.15999999999985</v>
      </c>
      <c r="AR56" s="20">
        <f t="shared" si="16"/>
        <v>-6.2498395123839361E-2</v>
      </c>
    </row>
    <row r="57" spans="1:44" x14ac:dyDescent="0.3">
      <c r="A57" s="1">
        <f t="shared" si="0"/>
        <v>57</v>
      </c>
      <c r="B57" s="2" t="s">
        <v>15</v>
      </c>
      <c r="C57" s="2" t="s">
        <v>24</v>
      </c>
      <c r="D57" s="2" t="s">
        <v>28</v>
      </c>
      <c r="E57" s="14">
        <v>209</v>
      </c>
      <c r="F57" s="14">
        <v>75240</v>
      </c>
      <c r="H57" s="19">
        <v>16363.51</v>
      </c>
      <c r="I57" s="19"/>
      <c r="J57" s="185">
        <v>0.2</v>
      </c>
      <c r="K57" s="242">
        <v>209</v>
      </c>
      <c r="L57" s="14">
        <f t="shared" si="17"/>
        <v>60192</v>
      </c>
      <c r="M57" s="19"/>
      <c r="N57" s="16">
        <v>17616.14</v>
      </c>
      <c r="O57" s="17">
        <f t="shared" si="18"/>
        <v>1252.6299999999992</v>
      </c>
      <c r="P57" s="18">
        <f t="shared" si="19"/>
        <v>7.6550202248783977E-2</v>
      </c>
      <c r="Q57" s="19"/>
      <c r="R57" s="16">
        <v>17820.98</v>
      </c>
      <c r="S57" s="17">
        <f t="shared" si="7"/>
        <v>1457.4699999999993</v>
      </c>
      <c r="T57" s="20">
        <f t="shared" si="20"/>
        <v>8.9068298916308256E-2</v>
      </c>
      <c r="V57" s="239">
        <v>0.2</v>
      </c>
      <c r="W57" s="240">
        <v>209</v>
      </c>
      <c r="X57" s="240">
        <f t="shared" si="21"/>
        <v>60192</v>
      </c>
      <c r="Z57" s="17">
        <v>16355.54</v>
      </c>
      <c r="AA57" s="17">
        <f t="shared" si="8"/>
        <v>-7.9699999999993452</v>
      </c>
      <c r="AB57" s="20">
        <f t="shared" si="9"/>
        <v>-4.8705931673579479E-4</v>
      </c>
      <c r="AD57" s="17">
        <v>16541.760000000002</v>
      </c>
      <c r="AE57" s="17">
        <f t="shared" si="10"/>
        <v>178.25000000000182</v>
      </c>
      <c r="AF57" s="20">
        <f t="shared" si="11"/>
        <v>1.0893139674800933E-2</v>
      </c>
      <c r="AH57" s="239">
        <v>0.2</v>
      </c>
      <c r="AI57" s="240">
        <v>209</v>
      </c>
      <c r="AJ57" s="240">
        <f t="shared" si="12"/>
        <v>60192</v>
      </c>
      <c r="AL57" s="17">
        <v>14954.880000000001</v>
      </c>
      <c r="AM57" s="17">
        <f t="shared" si="13"/>
        <v>-1408.6299999999992</v>
      </c>
      <c r="AN57" s="20">
        <f t="shared" si="14"/>
        <v>-8.6083609201204336E-2</v>
      </c>
      <c r="AP57" s="17">
        <v>15120.400000000001</v>
      </c>
      <c r="AQ57" s="17">
        <f t="shared" si="15"/>
        <v>-1243.1099999999988</v>
      </c>
      <c r="AR57" s="20">
        <f t="shared" si="16"/>
        <v>-7.5968419978354199E-2</v>
      </c>
    </row>
    <row r="58" spans="1:44" x14ac:dyDescent="0.3">
      <c r="A58" s="1">
        <f t="shared" si="0"/>
        <v>58</v>
      </c>
      <c r="B58" s="2" t="s">
        <v>15</v>
      </c>
      <c r="C58" s="2" t="s">
        <v>24</v>
      </c>
      <c r="D58" s="2" t="s">
        <v>28</v>
      </c>
      <c r="E58" s="14">
        <v>207</v>
      </c>
      <c r="F58" s="14">
        <v>101430</v>
      </c>
      <c r="H58" s="19">
        <v>20721.93</v>
      </c>
      <c r="I58" s="19"/>
      <c r="J58" s="185">
        <v>0.2</v>
      </c>
      <c r="K58" s="242">
        <v>207</v>
      </c>
      <c r="L58" s="14">
        <f t="shared" si="17"/>
        <v>81144</v>
      </c>
      <c r="M58" s="19"/>
      <c r="N58" s="16">
        <v>22410.57</v>
      </c>
      <c r="O58" s="17">
        <f t="shared" si="18"/>
        <v>1688.6399999999994</v>
      </c>
      <c r="P58" s="18">
        <f t="shared" si="19"/>
        <v>8.1490478927397178E-2</v>
      </c>
      <c r="Q58" s="19"/>
      <c r="R58" s="16">
        <v>22686.720000000001</v>
      </c>
      <c r="S58" s="17">
        <f t="shared" si="7"/>
        <v>1964.7900000000009</v>
      </c>
      <c r="T58" s="20">
        <f t="shared" si="20"/>
        <v>9.4816940313957279E-2</v>
      </c>
      <c r="V58" s="239">
        <v>0.2</v>
      </c>
      <c r="W58" s="240">
        <v>207</v>
      </c>
      <c r="X58" s="240">
        <f t="shared" si="21"/>
        <v>81144</v>
      </c>
      <c r="Z58" s="17">
        <v>20711.18</v>
      </c>
      <c r="AA58" s="17">
        <f t="shared" si="8"/>
        <v>-10.75</v>
      </c>
      <c r="AB58" s="20">
        <f t="shared" si="9"/>
        <v>-5.1877407172015342E-4</v>
      </c>
      <c r="AD58" s="17">
        <v>20962.22</v>
      </c>
      <c r="AE58" s="17">
        <f t="shared" si="10"/>
        <v>240.29000000000087</v>
      </c>
      <c r="AF58" s="20">
        <f t="shared" si="11"/>
        <v>1.1595927599408012E-2</v>
      </c>
      <c r="AH58" s="239">
        <v>0.2</v>
      </c>
      <c r="AI58" s="240">
        <v>207</v>
      </c>
      <c r="AJ58" s="240">
        <f t="shared" si="12"/>
        <v>81144</v>
      </c>
      <c r="AL58" s="17">
        <v>18822.96</v>
      </c>
      <c r="AM58" s="17">
        <f t="shared" si="13"/>
        <v>-1898.9700000000012</v>
      </c>
      <c r="AN58" s="20">
        <f t="shared" si="14"/>
        <v>-9.1640595253434459E-2</v>
      </c>
      <c r="AP58" s="17">
        <v>19046.099999999999</v>
      </c>
      <c r="AQ58" s="17">
        <f t="shared" si="15"/>
        <v>-1675.8300000000017</v>
      </c>
      <c r="AR58" s="20">
        <f t="shared" si="16"/>
        <v>-8.0872293266119596E-2</v>
      </c>
    </row>
    <row r="59" spans="1:44" x14ac:dyDescent="0.3">
      <c r="A59" s="1">
        <f t="shared" si="0"/>
        <v>59</v>
      </c>
      <c r="F59" s="14"/>
      <c r="H59" s="19"/>
      <c r="I59" s="19"/>
      <c r="J59" s="185"/>
      <c r="K59" s="242"/>
      <c r="L59" s="14"/>
      <c r="M59" s="19"/>
      <c r="N59" s="16"/>
      <c r="O59" s="17"/>
      <c r="P59" s="18"/>
      <c r="Q59" s="19"/>
      <c r="R59" s="16"/>
      <c r="S59" s="17"/>
      <c r="T59" s="20"/>
      <c r="V59" s="239"/>
      <c r="W59" s="240"/>
      <c r="X59" s="240"/>
      <c r="Z59" s="17"/>
      <c r="AA59" s="17"/>
      <c r="AB59" s="20"/>
      <c r="AD59" s="17"/>
      <c r="AE59" s="17"/>
      <c r="AF59" s="20"/>
      <c r="AH59" s="239"/>
      <c r="AI59" s="240"/>
      <c r="AJ59" s="240"/>
      <c r="AL59" s="17"/>
      <c r="AM59" s="17"/>
      <c r="AN59" s="20"/>
      <c r="AP59" s="17"/>
      <c r="AQ59" s="17"/>
      <c r="AR59" s="20"/>
    </row>
    <row r="60" spans="1:44" x14ac:dyDescent="0.3">
      <c r="A60" s="1">
        <f t="shared" si="0"/>
        <v>60</v>
      </c>
      <c r="B60" s="13" t="s">
        <v>17</v>
      </c>
      <c r="C60" s="13" t="s">
        <v>17</v>
      </c>
      <c r="D60" s="2" t="s">
        <v>28</v>
      </c>
      <c r="E60" s="14">
        <v>140</v>
      </c>
      <c r="F60" s="14">
        <v>25900</v>
      </c>
      <c r="H60" s="19">
        <v>6563.07</v>
      </c>
      <c r="I60" s="19"/>
      <c r="J60" s="185">
        <v>0.2</v>
      </c>
      <c r="K60" s="242">
        <v>140</v>
      </c>
      <c r="L60" s="14">
        <f t="shared" si="17"/>
        <v>20720</v>
      </c>
      <c r="M60" s="19"/>
      <c r="N60" s="16">
        <v>7005.51</v>
      </c>
      <c r="O60" s="17">
        <f t="shared" si="18"/>
        <v>442.44000000000051</v>
      </c>
      <c r="P60" s="18">
        <f t="shared" si="19"/>
        <v>6.7413573221068876E-2</v>
      </c>
      <c r="Q60" s="19"/>
      <c r="R60" s="16">
        <v>7076.0300000000007</v>
      </c>
      <c r="S60" s="17">
        <f t="shared" si="7"/>
        <v>512.96000000000095</v>
      </c>
      <c r="T60" s="20">
        <f t="shared" si="20"/>
        <v>7.81585447054505E-2</v>
      </c>
      <c r="V60" s="239">
        <v>0.2</v>
      </c>
      <c r="W60" s="240">
        <v>140</v>
      </c>
      <c r="X60" s="240">
        <f t="shared" si="21"/>
        <v>20720</v>
      </c>
      <c r="Z60" s="17">
        <v>6672.9</v>
      </c>
      <c r="AA60" s="17">
        <f t="shared" si="8"/>
        <v>109.82999999999993</v>
      </c>
      <c r="AB60" s="20">
        <f t="shared" si="9"/>
        <v>1.6734546485105282E-2</v>
      </c>
      <c r="AD60" s="17">
        <v>6737.01</v>
      </c>
      <c r="AE60" s="17">
        <f t="shared" si="10"/>
        <v>173.94000000000051</v>
      </c>
      <c r="AF60" s="20">
        <f t="shared" si="11"/>
        <v>2.6502840896105103E-2</v>
      </c>
      <c r="AH60" s="239">
        <v>0.2</v>
      </c>
      <c r="AI60" s="240">
        <v>140</v>
      </c>
      <c r="AJ60" s="240">
        <f t="shared" si="12"/>
        <v>20720</v>
      </c>
      <c r="AL60" s="17">
        <v>6303.34</v>
      </c>
      <c r="AM60" s="17">
        <f t="shared" si="13"/>
        <v>-259.72999999999956</v>
      </c>
      <c r="AN60" s="20">
        <f t="shared" si="14"/>
        <v>-3.9574467436733048E-2</v>
      </c>
      <c r="AP60" s="17">
        <v>6360.32</v>
      </c>
      <c r="AQ60" s="17">
        <f t="shared" si="15"/>
        <v>-202.75</v>
      </c>
      <c r="AR60" s="20">
        <f t="shared" si="16"/>
        <v>-3.0892554856187731E-2</v>
      </c>
    </row>
    <row r="61" spans="1:44" x14ac:dyDescent="0.3">
      <c r="A61" s="1">
        <f t="shared" si="0"/>
        <v>61</v>
      </c>
      <c r="B61" s="13" t="s">
        <v>17</v>
      </c>
      <c r="C61" s="13" t="s">
        <v>17</v>
      </c>
      <c r="D61" s="2" t="s">
        <v>28</v>
      </c>
      <c r="E61" s="14">
        <v>122</v>
      </c>
      <c r="F61" s="14">
        <v>42700</v>
      </c>
      <c r="H61" s="19">
        <v>8233.130000000001</v>
      </c>
      <c r="I61" s="19"/>
      <c r="J61" s="185">
        <v>0.2</v>
      </c>
      <c r="K61" s="242">
        <v>122</v>
      </c>
      <c r="L61" s="14">
        <f t="shared" si="17"/>
        <v>34160</v>
      </c>
      <c r="M61" s="19"/>
      <c r="N61" s="16">
        <v>8962.57</v>
      </c>
      <c r="O61" s="17">
        <f t="shared" si="18"/>
        <v>729.43999999999869</v>
      </c>
      <c r="P61" s="18">
        <f t="shared" si="19"/>
        <v>8.859813946822151E-2</v>
      </c>
      <c r="Q61" s="19"/>
      <c r="R61" s="16">
        <v>9078.82</v>
      </c>
      <c r="S61" s="17">
        <f t="shared" si="7"/>
        <v>845.68999999999869</v>
      </c>
      <c r="T61" s="20">
        <f t="shared" si="20"/>
        <v>0.10271792137376655</v>
      </c>
      <c r="V61" s="239">
        <v>0.2</v>
      </c>
      <c r="W61" s="240">
        <v>122</v>
      </c>
      <c r="X61" s="240">
        <f t="shared" si="21"/>
        <v>34160</v>
      </c>
      <c r="Z61" s="17">
        <v>8414.2199999999993</v>
      </c>
      <c r="AA61" s="17">
        <f t="shared" si="8"/>
        <v>181.08999999999833</v>
      </c>
      <c r="AB61" s="20">
        <f t="shared" si="9"/>
        <v>2.1995280045377433E-2</v>
      </c>
      <c r="AD61" s="17">
        <v>8519.9</v>
      </c>
      <c r="AE61" s="17">
        <f t="shared" si="10"/>
        <v>286.76999999999862</v>
      </c>
      <c r="AF61" s="20">
        <f t="shared" si="11"/>
        <v>3.4831224576801115E-2</v>
      </c>
      <c r="AH61" s="239">
        <v>0.2</v>
      </c>
      <c r="AI61" s="240">
        <v>122</v>
      </c>
      <c r="AJ61" s="240">
        <f t="shared" si="12"/>
        <v>34160</v>
      </c>
      <c r="AL61" s="17">
        <v>7804.93</v>
      </c>
      <c r="AM61" s="17">
        <f t="shared" si="13"/>
        <v>-428.20000000000073</v>
      </c>
      <c r="AN61" s="20">
        <f t="shared" si="14"/>
        <v>-5.2009381608209837E-2</v>
      </c>
      <c r="AP61" s="17">
        <v>7898.87</v>
      </c>
      <c r="AQ61" s="17">
        <f t="shared" si="15"/>
        <v>-334.26000000000113</v>
      </c>
      <c r="AR61" s="20">
        <f t="shared" si="16"/>
        <v>-4.0599383223634398E-2</v>
      </c>
    </row>
    <row r="62" spans="1:44" x14ac:dyDescent="0.3">
      <c r="A62" s="1">
        <f t="shared" si="0"/>
        <v>62</v>
      </c>
      <c r="B62" s="13" t="s">
        <v>17</v>
      </c>
      <c r="C62" s="13" t="s">
        <v>17</v>
      </c>
      <c r="D62" s="2" t="s">
        <v>28</v>
      </c>
      <c r="E62" s="14">
        <v>125</v>
      </c>
      <c r="F62" s="14">
        <v>60625</v>
      </c>
      <c r="H62" s="19">
        <v>10528.41</v>
      </c>
      <c r="I62" s="19"/>
      <c r="J62" s="185">
        <v>0.2</v>
      </c>
      <c r="K62" s="242">
        <v>125</v>
      </c>
      <c r="L62" s="14">
        <f t="shared" si="17"/>
        <v>48500</v>
      </c>
      <c r="M62" s="19"/>
      <c r="N62" s="16">
        <v>11564.07</v>
      </c>
      <c r="O62" s="17">
        <f t="shared" si="18"/>
        <v>1035.6599999999999</v>
      </c>
      <c r="P62" s="18">
        <f t="shared" si="19"/>
        <v>9.8368129660604015E-2</v>
      </c>
      <c r="Q62" s="19"/>
      <c r="R62" s="16">
        <v>11729.119999999999</v>
      </c>
      <c r="S62" s="17">
        <f t="shared" si="7"/>
        <v>1200.7099999999991</v>
      </c>
      <c r="T62" s="20">
        <f t="shared" si="20"/>
        <v>0.11404476079483979</v>
      </c>
      <c r="V62" s="239">
        <v>0.2</v>
      </c>
      <c r="W62" s="240">
        <v>125</v>
      </c>
      <c r="X62" s="240">
        <f t="shared" si="21"/>
        <v>48500</v>
      </c>
      <c r="Z62" s="17">
        <v>10785.52</v>
      </c>
      <c r="AA62" s="17">
        <f t="shared" si="8"/>
        <v>257.11000000000058</v>
      </c>
      <c r="AB62" s="20">
        <f t="shared" si="9"/>
        <v>2.4420591523316493E-2</v>
      </c>
      <c r="AD62" s="17">
        <v>10935.57</v>
      </c>
      <c r="AE62" s="17">
        <f t="shared" si="10"/>
        <v>407.15999999999985</v>
      </c>
      <c r="AF62" s="20">
        <f t="shared" si="11"/>
        <v>3.8672506104910416E-2</v>
      </c>
      <c r="AH62" s="239">
        <v>0.2</v>
      </c>
      <c r="AI62" s="240">
        <v>125</v>
      </c>
      <c r="AJ62" s="240">
        <f t="shared" si="12"/>
        <v>48500</v>
      </c>
      <c r="AL62" s="17">
        <v>9920.4700000000012</v>
      </c>
      <c r="AM62" s="17">
        <f t="shared" si="13"/>
        <v>-607.93999999999869</v>
      </c>
      <c r="AN62" s="20">
        <f t="shared" si="14"/>
        <v>-5.7742812067539041E-2</v>
      </c>
      <c r="AP62" s="17">
        <v>10053.849999999999</v>
      </c>
      <c r="AQ62" s="17">
        <f t="shared" si="15"/>
        <v>-474.56000000000131</v>
      </c>
      <c r="AR62" s="20">
        <f t="shared" si="16"/>
        <v>-4.5074232481447943E-2</v>
      </c>
    </row>
    <row r="63" spans="1:44" x14ac:dyDescent="0.3">
      <c r="A63" s="1">
        <f t="shared" si="0"/>
        <v>63</v>
      </c>
      <c r="B63" s="13"/>
      <c r="F63" s="14"/>
      <c r="H63" s="19"/>
      <c r="I63" s="19"/>
      <c r="J63" s="185"/>
      <c r="K63" s="242"/>
      <c r="L63" s="14"/>
      <c r="M63" s="19"/>
      <c r="N63" s="16"/>
      <c r="O63" s="17"/>
      <c r="P63" s="18"/>
      <c r="Q63" s="19"/>
      <c r="R63" s="16"/>
      <c r="S63" s="17"/>
      <c r="T63" s="20"/>
      <c r="V63" s="239"/>
      <c r="W63" s="240"/>
      <c r="X63" s="240"/>
      <c r="Z63" s="17"/>
      <c r="AA63" s="17"/>
      <c r="AB63" s="20"/>
      <c r="AD63" s="17"/>
      <c r="AE63" s="17"/>
      <c r="AF63" s="20"/>
      <c r="AH63" s="239"/>
      <c r="AI63" s="240"/>
      <c r="AJ63" s="240"/>
      <c r="AL63" s="17"/>
      <c r="AM63" s="17"/>
      <c r="AN63" s="20"/>
      <c r="AP63" s="17"/>
      <c r="AQ63" s="17"/>
      <c r="AR63" s="20"/>
    </row>
    <row r="64" spans="1:44" x14ac:dyDescent="0.3">
      <c r="A64" s="1">
        <f t="shared" si="0"/>
        <v>64</v>
      </c>
      <c r="B64" s="2" t="s">
        <v>15</v>
      </c>
      <c r="C64" s="2" t="s">
        <v>21</v>
      </c>
      <c r="D64" s="2" t="s">
        <v>29</v>
      </c>
      <c r="E64" s="14">
        <v>600</v>
      </c>
      <c r="F64" s="14">
        <v>162000</v>
      </c>
      <c r="H64" s="19">
        <v>37819.360000000001</v>
      </c>
      <c r="I64" s="19"/>
      <c r="J64" s="185">
        <v>0.2</v>
      </c>
      <c r="K64" s="242">
        <v>600</v>
      </c>
      <c r="L64" s="14">
        <f t="shared" si="17"/>
        <v>129600</v>
      </c>
      <c r="M64" s="19"/>
      <c r="N64" s="16">
        <v>40578.559999999998</v>
      </c>
      <c r="O64" s="17">
        <f t="shared" si="18"/>
        <v>2759.1999999999971</v>
      </c>
      <c r="P64" s="18">
        <f t="shared" si="19"/>
        <v>7.2957342482791801E-2</v>
      </c>
      <c r="Q64" s="19"/>
      <c r="R64" s="16">
        <v>41019.599999999999</v>
      </c>
      <c r="S64" s="17">
        <f t="shared" si="7"/>
        <v>3200.239999999998</v>
      </c>
      <c r="T64" s="20">
        <f t="shared" si="20"/>
        <v>8.4619094558977148E-2</v>
      </c>
      <c r="V64" s="239">
        <v>0.2</v>
      </c>
      <c r="W64" s="240">
        <v>600</v>
      </c>
      <c r="X64" s="240">
        <f t="shared" si="21"/>
        <v>129600</v>
      </c>
      <c r="Z64" s="17">
        <v>38423.78</v>
      </c>
      <c r="AA64" s="17">
        <f t="shared" si="8"/>
        <v>604.41999999999825</v>
      </c>
      <c r="AB64" s="20">
        <f t="shared" si="9"/>
        <v>1.5981761722038614E-2</v>
      </c>
      <c r="AD64" s="17">
        <v>38824.729999999996</v>
      </c>
      <c r="AE64" s="17">
        <f t="shared" si="10"/>
        <v>1005.3699999999953</v>
      </c>
      <c r="AF64" s="20">
        <f t="shared" si="11"/>
        <v>2.6583474707134E-2</v>
      </c>
      <c r="AH64" s="239">
        <v>0.2</v>
      </c>
      <c r="AI64" s="240">
        <v>600</v>
      </c>
      <c r="AJ64" s="240">
        <f t="shared" si="12"/>
        <v>129600</v>
      </c>
      <c r="AL64" s="17">
        <v>36029.58</v>
      </c>
      <c r="AM64" s="17">
        <f t="shared" si="13"/>
        <v>-1789.7799999999988</v>
      </c>
      <c r="AN64" s="20">
        <f t="shared" si="14"/>
        <v>-4.7324439123242669E-2</v>
      </c>
      <c r="AP64" s="17">
        <v>36385.980000000003</v>
      </c>
      <c r="AQ64" s="17">
        <f t="shared" si="15"/>
        <v>-1433.3799999999974</v>
      </c>
      <c r="AR64" s="20">
        <f t="shared" si="16"/>
        <v>-3.7900694247602215E-2</v>
      </c>
    </row>
    <row r="65" spans="1:44" x14ac:dyDescent="0.3">
      <c r="A65" s="1">
        <f t="shared" si="0"/>
        <v>65</v>
      </c>
      <c r="B65" s="2" t="s">
        <v>15</v>
      </c>
      <c r="C65" s="2" t="s">
        <v>21</v>
      </c>
      <c r="D65" s="2" t="s">
        <v>29</v>
      </c>
      <c r="E65" s="14">
        <v>828</v>
      </c>
      <c r="F65" s="14">
        <v>368460</v>
      </c>
      <c r="H65" s="19">
        <v>70782.78</v>
      </c>
      <c r="I65" s="19"/>
      <c r="J65" s="185">
        <v>0.2</v>
      </c>
      <c r="K65" s="242">
        <v>828</v>
      </c>
      <c r="L65" s="14">
        <f t="shared" si="17"/>
        <v>294768</v>
      </c>
      <c r="M65" s="19"/>
      <c r="N65" s="16">
        <v>77058.429999999993</v>
      </c>
      <c r="O65" s="17">
        <f t="shared" si="18"/>
        <v>6275.6499999999942</v>
      </c>
      <c r="P65" s="18">
        <f t="shared" si="19"/>
        <v>8.8660688376466623E-2</v>
      </c>
      <c r="Q65" s="19"/>
      <c r="R65" s="16">
        <v>78061.570000000007</v>
      </c>
      <c r="S65" s="17">
        <f t="shared" si="7"/>
        <v>7278.7900000000081</v>
      </c>
      <c r="T65" s="20">
        <f t="shared" si="20"/>
        <v>0.10283277938504264</v>
      </c>
      <c r="V65" s="239">
        <v>0.2</v>
      </c>
      <c r="W65" s="240">
        <v>828</v>
      </c>
      <c r="X65" s="240">
        <f t="shared" si="21"/>
        <v>294768</v>
      </c>
      <c r="Z65" s="17">
        <v>72157.510000000009</v>
      </c>
      <c r="AA65" s="17">
        <f t="shared" si="8"/>
        <v>1374.7300000000105</v>
      </c>
      <c r="AB65" s="20">
        <f t="shared" si="9"/>
        <v>1.9421814175707857E-2</v>
      </c>
      <c r="AD65" s="17">
        <v>73069.450000000012</v>
      </c>
      <c r="AE65" s="17">
        <f t="shared" si="10"/>
        <v>2286.6700000000128</v>
      </c>
      <c r="AF65" s="20">
        <f t="shared" si="11"/>
        <v>3.2305456214068065E-2</v>
      </c>
      <c r="AH65" s="239">
        <v>0.2</v>
      </c>
      <c r="AI65" s="240">
        <v>828</v>
      </c>
      <c r="AJ65" s="240">
        <f t="shared" si="12"/>
        <v>294768</v>
      </c>
      <c r="AL65" s="17">
        <v>66712.049999999988</v>
      </c>
      <c r="AM65" s="17">
        <f t="shared" si="13"/>
        <v>-4070.7300000000105</v>
      </c>
      <c r="AN65" s="20">
        <f t="shared" si="14"/>
        <v>-5.7510174084713976E-2</v>
      </c>
      <c r="AP65" s="17">
        <v>67522.66</v>
      </c>
      <c r="AQ65" s="17">
        <f t="shared" si="15"/>
        <v>-3260.1199999999953</v>
      </c>
      <c r="AR65" s="20">
        <f t="shared" si="16"/>
        <v>-4.6058094920826721E-2</v>
      </c>
    </row>
    <row r="66" spans="1:44" x14ac:dyDescent="0.3">
      <c r="A66" s="1">
        <f t="shared" si="0"/>
        <v>66</v>
      </c>
      <c r="B66" s="2" t="s">
        <v>15</v>
      </c>
      <c r="C66" s="2" t="s">
        <v>21</v>
      </c>
      <c r="D66" s="2" t="s">
        <v>29</v>
      </c>
      <c r="E66" s="14">
        <v>1356</v>
      </c>
      <c r="F66" s="14">
        <v>786480</v>
      </c>
      <c r="H66" s="19">
        <v>139349.70000000001</v>
      </c>
      <c r="I66" s="19"/>
      <c r="J66" s="185">
        <v>0.2</v>
      </c>
      <c r="K66" s="242">
        <v>1356</v>
      </c>
      <c r="L66" s="14">
        <f t="shared" si="17"/>
        <v>629184</v>
      </c>
      <c r="M66" s="19"/>
      <c r="N66" s="16">
        <v>152745.10999999999</v>
      </c>
      <c r="O66" s="17">
        <f t="shared" si="18"/>
        <v>13395.409999999974</v>
      </c>
      <c r="P66" s="18">
        <f t="shared" si="19"/>
        <v>9.6128014627946623E-2</v>
      </c>
      <c r="Q66" s="19"/>
      <c r="R66" s="16">
        <v>154886.29999999999</v>
      </c>
      <c r="S66" s="17">
        <f t="shared" si="7"/>
        <v>15536.599999999977</v>
      </c>
      <c r="T66" s="20">
        <f t="shared" si="20"/>
        <v>0.1114936020673168</v>
      </c>
      <c r="V66" s="239">
        <v>0.2</v>
      </c>
      <c r="W66" s="240">
        <v>1356</v>
      </c>
      <c r="X66" s="240">
        <f t="shared" si="21"/>
        <v>629184</v>
      </c>
      <c r="Z66" s="17">
        <v>142284.04999999999</v>
      </c>
      <c r="AA66" s="17">
        <f t="shared" si="8"/>
        <v>2934.3499999999767</v>
      </c>
      <c r="AB66" s="20">
        <f t="shared" si="9"/>
        <v>2.1057454734383901E-2</v>
      </c>
      <c r="AD66" s="17">
        <v>144230.59</v>
      </c>
      <c r="AE66" s="17">
        <f t="shared" si="10"/>
        <v>4880.8899999999849</v>
      </c>
      <c r="AF66" s="20">
        <f t="shared" si="11"/>
        <v>3.502619668359519E-2</v>
      </c>
      <c r="AH66" s="239">
        <v>0.2</v>
      </c>
      <c r="AI66" s="240">
        <v>1356</v>
      </c>
      <c r="AJ66" s="240">
        <f t="shared" si="12"/>
        <v>629184</v>
      </c>
      <c r="AL66" s="17">
        <v>130660.66</v>
      </c>
      <c r="AM66" s="17">
        <f t="shared" si="13"/>
        <v>-8689.0400000000081</v>
      </c>
      <c r="AN66" s="20">
        <f t="shared" si="14"/>
        <v>-6.2354206718780218E-2</v>
      </c>
      <c r="AP66" s="17">
        <v>132390.92000000001</v>
      </c>
      <c r="AQ66" s="17">
        <f t="shared" si="15"/>
        <v>-6958.7799999999988</v>
      </c>
      <c r="AR66" s="20">
        <f t="shared" si="16"/>
        <v>-4.993753126128006E-2</v>
      </c>
    </row>
    <row r="67" spans="1:44" x14ac:dyDescent="0.3">
      <c r="A67" s="1">
        <f t="shared" ref="A67:A107" si="22">A66+1</f>
        <v>67</v>
      </c>
      <c r="F67" s="14"/>
      <c r="H67" s="19"/>
      <c r="I67" s="19"/>
      <c r="J67" s="185"/>
      <c r="K67" s="242"/>
      <c r="L67" s="14"/>
      <c r="M67" s="19"/>
      <c r="N67" s="16"/>
      <c r="O67" s="17"/>
      <c r="P67" s="18"/>
      <c r="Q67" s="19"/>
      <c r="R67" s="16"/>
      <c r="S67" s="17"/>
      <c r="T67" s="20"/>
      <c r="V67" s="239"/>
      <c r="W67" s="240"/>
      <c r="X67" s="240"/>
      <c r="Z67" s="17"/>
      <c r="AA67" s="17"/>
      <c r="AB67" s="20"/>
      <c r="AD67" s="17"/>
      <c r="AE67" s="17"/>
      <c r="AF67" s="20"/>
      <c r="AH67" s="239"/>
      <c r="AI67" s="240"/>
      <c r="AJ67" s="240"/>
      <c r="AL67" s="17"/>
      <c r="AM67" s="17"/>
      <c r="AN67" s="20"/>
      <c r="AP67" s="17"/>
      <c r="AQ67" s="17"/>
      <c r="AR67" s="20"/>
    </row>
    <row r="68" spans="1:44" x14ac:dyDescent="0.3">
      <c r="A68" s="1">
        <f t="shared" si="22"/>
        <v>68</v>
      </c>
      <c r="B68" s="2" t="s">
        <v>15</v>
      </c>
      <c r="C68" s="2" t="s">
        <v>21</v>
      </c>
      <c r="D68" s="2" t="s">
        <v>30</v>
      </c>
      <c r="E68" s="14">
        <v>600</v>
      </c>
      <c r="F68" s="14">
        <v>162000</v>
      </c>
      <c r="H68" s="19">
        <v>40155.4</v>
      </c>
      <c r="I68" s="19"/>
      <c r="J68" s="185">
        <v>0.2</v>
      </c>
      <c r="K68" s="242">
        <v>600</v>
      </c>
      <c r="L68" s="14">
        <f t="shared" si="17"/>
        <v>129600</v>
      </c>
      <c r="M68" s="19"/>
      <c r="N68" s="16">
        <v>42891.240000000005</v>
      </c>
      <c r="O68" s="17">
        <f t="shared" si="18"/>
        <v>2735.8400000000038</v>
      </c>
      <c r="P68" s="18">
        <f t="shared" si="19"/>
        <v>6.8131309861189371E-2</v>
      </c>
      <c r="Q68" s="19"/>
      <c r="R68" s="16">
        <v>43332.28</v>
      </c>
      <c r="S68" s="17">
        <f t="shared" si="7"/>
        <v>3176.8799999999974</v>
      </c>
      <c r="T68" s="20">
        <f t="shared" si="20"/>
        <v>7.911463962505659E-2</v>
      </c>
      <c r="V68" s="239">
        <v>0.2</v>
      </c>
      <c r="W68" s="240">
        <v>600</v>
      </c>
      <c r="X68" s="240">
        <f t="shared" si="21"/>
        <v>129600</v>
      </c>
      <c r="Z68" s="17">
        <v>40526.22</v>
      </c>
      <c r="AA68" s="17">
        <f t="shared" si="8"/>
        <v>370.81999999999971</v>
      </c>
      <c r="AB68" s="20">
        <f t="shared" si="9"/>
        <v>9.2346234877500825E-3</v>
      </c>
      <c r="AD68" s="17">
        <v>40927.17</v>
      </c>
      <c r="AE68" s="17">
        <f t="shared" si="10"/>
        <v>771.7699999999968</v>
      </c>
      <c r="AF68" s="20">
        <f t="shared" si="11"/>
        <v>1.9219581924224308E-2</v>
      </c>
      <c r="AH68" s="239">
        <v>0.2</v>
      </c>
      <c r="AI68" s="240">
        <v>600</v>
      </c>
      <c r="AJ68" s="240">
        <f t="shared" si="12"/>
        <v>129600</v>
      </c>
      <c r="AL68" s="17">
        <v>37898.42</v>
      </c>
      <c r="AM68" s="17">
        <f t="shared" si="13"/>
        <v>-2256.9800000000032</v>
      </c>
      <c r="AN68" s="20">
        <f t="shared" si="14"/>
        <v>-5.6206139149404644E-2</v>
      </c>
      <c r="AP68" s="17">
        <v>38254.820000000007</v>
      </c>
      <c r="AQ68" s="17">
        <f t="shared" si="15"/>
        <v>-1900.5799999999945</v>
      </c>
      <c r="AR68" s="20">
        <f t="shared" si="16"/>
        <v>-4.7330620539205046E-2</v>
      </c>
    </row>
    <row r="69" spans="1:44" x14ac:dyDescent="0.3">
      <c r="A69" s="1">
        <f t="shared" si="22"/>
        <v>69</v>
      </c>
      <c r="B69" s="2" t="s">
        <v>15</v>
      </c>
      <c r="C69" s="2" t="s">
        <v>21</v>
      </c>
      <c r="D69" s="2" t="s">
        <v>30</v>
      </c>
      <c r="E69" s="14">
        <v>828</v>
      </c>
      <c r="F69" s="14">
        <v>368460</v>
      </c>
      <c r="H69" s="19">
        <v>76095.98000000001</v>
      </c>
      <c r="I69" s="19"/>
      <c r="J69" s="185">
        <v>0.2</v>
      </c>
      <c r="K69" s="242">
        <v>828</v>
      </c>
      <c r="L69" s="14">
        <f t="shared" si="17"/>
        <v>294768</v>
      </c>
      <c r="M69" s="19"/>
      <c r="N69" s="16">
        <v>82318.489999999991</v>
      </c>
      <c r="O69" s="17">
        <f t="shared" si="18"/>
        <v>6222.5099999999802</v>
      </c>
      <c r="P69" s="18">
        <f t="shared" si="19"/>
        <v>8.1771862324395844E-2</v>
      </c>
      <c r="Q69" s="19"/>
      <c r="R69" s="16">
        <v>83321.63</v>
      </c>
      <c r="S69" s="17">
        <f t="shared" si="7"/>
        <v>7225.6499999999942</v>
      </c>
      <c r="T69" s="20">
        <f t="shared" si="20"/>
        <v>9.4954424662117412E-2</v>
      </c>
      <c r="V69" s="239">
        <v>0.2</v>
      </c>
      <c r="W69" s="240">
        <v>828</v>
      </c>
      <c r="X69" s="240">
        <f t="shared" si="21"/>
        <v>294768</v>
      </c>
      <c r="Z69" s="17">
        <v>76939.38</v>
      </c>
      <c r="AA69" s="17">
        <f t="shared" si="8"/>
        <v>843.39999999999418</v>
      </c>
      <c r="AB69" s="20">
        <f t="shared" si="9"/>
        <v>1.1083371289784217E-2</v>
      </c>
      <c r="AD69" s="17">
        <v>77851.320000000007</v>
      </c>
      <c r="AE69" s="17">
        <f t="shared" si="10"/>
        <v>1755.3399999999965</v>
      </c>
      <c r="AF69" s="20">
        <f t="shared" si="11"/>
        <v>2.3067447189720092E-2</v>
      </c>
      <c r="AH69" s="239">
        <v>0.2</v>
      </c>
      <c r="AI69" s="240">
        <v>828</v>
      </c>
      <c r="AJ69" s="240">
        <f t="shared" si="12"/>
        <v>294768</v>
      </c>
      <c r="AL69" s="17">
        <v>70962.600000000006</v>
      </c>
      <c r="AM69" s="17">
        <f t="shared" si="13"/>
        <v>-5133.3800000000047</v>
      </c>
      <c r="AN69" s="20">
        <f t="shared" si="14"/>
        <v>-6.7459279714907464E-2</v>
      </c>
      <c r="AP69" s="17">
        <v>71773.209999999992</v>
      </c>
      <c r="AQ69" s="17">
        <f t="shared" si="15"/>
        <v>-4322.7700000000186</v>
      </c>
      <c r="AR69" s="20">
        <f t="shared" si="16"/>
        <v>-5.6806811608182427E-2</v>
      </c>
    </row>
    <row r="70" spans="1:44" x14ac:dyDescent="0.3">
      <c r="A70" s="1">
        <f t="shared" si="22"/>
        <v>70</v>
      </c>
      <c r="B70" s="2" t="s">
        <v>15</v>
      </c>
      <c r="C70" s="2" t="s">
        <v>21</v>
      </c>
      <c r="D70" s="2" t="s">
        <v>30</v>
      </c>
      <c r="E70" s="14">
        <v>1356</v>
      </c>
      <c r="F70" s="14">
        <v>786480</v>
      </c>
      <c r="H70" s="19">
        <v>150690.74</v>
      </c>
      <c r="I70" s="19"/>
      <c r="J70" s="185">
        <v>0.2</v>
      </c>
      <c r="K70" s="242">
        <v>1356</v>
      </c>
      <c r="L70" s="14">
        <f t="shared" si="17"/>
        <v>629184</v>
      </c>
      <c r="M70" s="19"/>
      <c r="N70" s="16">
        <v>163972.74</v>
      </c>
      <c r="O70" s="17">
        <f t="shared" si="18"/>
        <v>13282</v>
      </c>
      <c r="P70" s="18">
        <f t="shared" si="19"/>
        <v>8.814078423133366E-2</v>
      </c>
      <c r="Q70" s="19"/>
      <c r="R70" s="16">
        <v>166113.93</v>
      </c>
      <c r="S70" s="17">
        <f t="shared" si="7"/>
        <v>15423.190000000002</v>
      </c>
      <c r="T70" s="20">
        <f t="shared" si="20"/>
        <v>0.10234995196121542</v>
      </c>
      <c r="V70" s="239">
        <v>0.2</v>
      </c>
      <c r="W70" s="240">
        <v>1356</v>
      </c>
      <c r="X70" s="240">
        <f t="shared" si="21"/>
        <v>629184</v>
      </c>
      <c r="Z70" s="17">
        <v>152490.99</v>
      </c>
      <c r="AA70" s="17">
        <f t="shared" si="8"/>
        <v>1800.25</v>
      </c>
      <c r="AB70" s="20">
        <f t="shared" si="9"/>
        <v>1.1946653125467431E-2</v>
      </c>
      <c r="AD70" s="17">
        <v>154437.53</v>
      </c>
      <c r="AE70" s="17">
        <f t="shared" si="10"/>
        <v>3746.7900000000081</v>
      </c>
      <c r="AF70" s="20">
        <f t="shared" si="11"/>
        <v>2.4864102465752099E-2</v>
      </c>
      <c r="AH70" s="239">
        <v>0.2</v>
      </c>
      <c r="AI70" s="240">
        <v>1356</v>
      </c>
      <c r="AJ70" s="240">
        <f t="shared" si="12"/>
        <v>629184</v>
      </c>
      <c r="AL70" s="17">
        <v>139733.49</v>
      </c>
      <c r="AM70" s="17">
        <f t="shared" si="13"/>
        <v>-10957.25</v>
      </c>
      <c r="AN70" s="20">
        <f t="shared" si="14"/>
        <v>-7.2713492547717265E-2</v>
      </c>
      <c r="AP70" s="17">
        <v>141463.75</v>
      </c>
      <c r="AQ70" s="17">
        <f t="shared" si="15"/>
        <v>-9226.9899999999907</v>
      </c>
      <c r="AR70" s="20">
        <f t="shared" si="16"/>
        <v>-6.1231300609446815E-2</v>
      </c>
    </row>
    <row r="71" spans="1:44" x14ac:dyDescent="0.3">
      <c r="A71" s="1">
        <f t="shared" si="22"/>
        <v>71</v>
      </c>
      <c r="F71" s="14"/>
      <c r="H71" s="19"/>
      <c r="I71" s="19"/>
      <c r="J71" s="185"/>
      <c r="K71" s="242"/>
      <c r="L71" s="14"/>
      <c r="M71" s="19"/>
      <c r="N71" s="16"/>
      <c r="O71" s="17"/>
      <c r="P71" s="18"/>
      <c r="Q71" s="19"/>
      <c r="R71" s="16"/>
      <c r="S71" s="17"/>
      <c r="T71" s="20"/>
      <c r="V71" s="239"/>
      <c r="W71" s="240"/>
      <c r="X71" s="240"/>
      <c r="Z71" s="17"/>
      <c r="AA71" s="17"/>
      <c r="AB71" s="20"/>
      <c r="AD71" s="17"/>
      <c r="AE71" s="17"/>
      <c r="AF71" s="20"/>
      <c r="AH71" s="239"/>
      <c r="AI71" s="240"/>
      <c r="AJ71" s="240"/>
      <c r="AL71" s="17"/>
      <c r="AM71" s="17"/>
      <c r="AN71" s="20"/>
      <c r="AP71" s="17"/>
      <c r="AQ71" s="17"/>
      <c r="AR71" s="20"/>
    </row>
    <row r="72" spans="1:44" x14ac:dyDescent="0.3">
      <c r="A72" s="1">
        <f t="shared" si="22"/>
        <v>72</v>
      </c>
      <c r="B72" s="2" t="s">
        <v>15</v>
      </c>
      <c r="C72" s="2" t="s">
        <v>23</v>
      </c>
      <c r="D72" s="2" t="s">
        <v>31</v>
      </c>
      <c r="E72" s="14">
        <v>859</v>
      </c>
      <c r="F72" s="14">
        <v>249110</v>
      </c>
      <c r="H72" s="19">
        <v>54420.84</v>
      </c>
      <c r="I72" s="19"/>
      <c r="J72" s="185">
        <v>0.2</v>
      </c>
      <c r="K72" s="242">
        <v>859</v>
      </c>
      <c r="L72" s="14">
        <f t="shared" si="17"/>
        <v>199288</v>
      </c>
      <c r="M72" s="19"/>
      <c r="N72" s="16">
        <v>58660.81</v>
      </c>
      <c r="O72" s="17">
        <f t="shared" si="18"/>
        <v>4239.9700000000012</v>
      </c>
      <c r="P72" s="18">
        <f t="shared" si="19"/>
        <v>7.7910778297431676E-2</v>
      </c>
      <c r="Q72" s="19"/>
      <c r="R72" s="16">
        <v>59339.009999999995</v>
      </c>
      <c r="S72" s="17">
        <f t="shared" si="7"/>
        <v>4918.1699999999983</v>
      </c>
      <c r="T72" s="20">
        <f t="shared" si="20"/>
        <v>9.037291596381089E-2</v>
      </c>
      <c r="V72" s="239">
        <v>0.2</v>
      </c>
      <c r="W72" s="240">
        <v>859</v>
      </c>
      <c r="X72" s="240">
        <f t="shared" si="21"/>
        <v>199288</v>
      </c>
      <c r="Z72" s="17">
        <v>55321.37</v>
      </c>
      <c r="AA72" s="17">
        <f t="shared" si="8"/>
        <v>900.53000000000611</v>
      </c>
      <c r="AB72" s="20">
        <f t="shared" si="9"/>
        <v>1.6547521133448255E-2</v>
      </c>
      <c r="AD72" s="17">
        <v>55937.919999999998</v>
      </c>
      <c r="AE72" s="17">
        <f t="shared" si="10"/>
        <v>1517.0800000000017</v>
      </c>
      <c r="AF72" s="20">
        <f t="shared" si="11"/>
        <v>2.7876820717945585E-2</v>
      </c>
      <c r="AH72" s="239">
        <v>0.2</v>
      </c>
      <c r="AI72" s="240">
        <v>859</v>
      </c>
      <c r="AJ72" s="240">
        <f t="shared" si="12"/>
        <v>199288</v>
      </c>
      <c r="AL72" s="17">
        <v>51610.880000000005</v>
      </c>
      <c r="AM72" s="17">
        <f t="shared" si="13"/>
        <v>-2809.9599999999919</v>
      </c>
      <c r="AN72" s="20">
        <f t="shared" si="14"/>
        <v>-5.1633896132437351E-2</v>
      </c>
      <c r="AP72" s="17">
        <v>52158.92</v>
      </c>
      <c r="AQ72" s="17">
        <f t="shared" si="15"/>
        <v>-2261.9199999999983</v>
      </c>
      <c r="AR72" s="20">
        <f t="shared" si="16"/>
        <v>-4.1563489280944547E-2</v>
      </c>
    </row>
    <row r="73" spans="1:44" x14ac:dyDescent="0.3">
      <c r="A73" s="1">
        <f t="shared" si="22"/>
        <v>73</v>
      </c>
      <c r="B73" s="2" t="s">
        <v>15</v>
      </c>
      <c r="C73" s="2" t="s">
        <v>23</v>
      </c>
      <c r="D73" s="2" t="s">
        <v>31</v>
      </c>
      <c r="E73" s="14">
        <v>1085</v>
      </c>
      <c r="F73" s="14">
        <v>471975</v>
      </c>
      <c r="H73" s="19">
        <v>89489.39</v>
      </c>
      <c r="I73" s="19"/>
      <c r="J73" s="185">
        <v>0.2</v>
      </c>
      <c r="K73" s="242">
        <v>1085</v>
      </c>
      <c r="L73" s="14">
        <f t="shared" si="17"/>
        <v>377580</v>
      </c>
      <c r="M73" s="19"/>
      <c r="N73" s="16">
        <v>97522.64</v>
      </c>
      <c r="O73" s="17">
        <f t="shared" si="18"/>
        <v>8033.25</v>
      </c>
      <c r="P73" s="18">
        <f t="shared" si="19"/>
        <v>8.9767624966490447E-2</v>
      </c>
      <c r="Q73" s="19"/>
      <c r="R73" s="16">
        <v>98807.59</v>
      </c>
      <c r="S73" s="17">
        <f t="shared" si="7"/>
        <v>9318.1999999999971</v>
      </c>
      <c r="T73" s="20">
        <f t="shared" si="20"/>
        <v>0.10412631039277391</v>
      </c>
      <c r="V73" s="239">
        <v>0.2</v>
      </c>
      <c r="W73" s="240">
        <v>1085</v>
      </c>
      <c r="X73" s="240">
        <f t="shared" si="21"/>
        <v>377580</v>
      </c>
      <c r="Z73" s="17">
        <v>91195.58</v>
      </c>
      <c r="AA73" s="17">
        <f t="shared" si="8"/>
        <v>1706.1900000000023</v>
      </c>
      <c r="AB73" s="20">
        <f t="shared" si="9"/>
        <v>1.9065835625877017E-2</v>
      </c>
      <c r="AD73" s="17">
        <v>92363.72</v>
      </c>
      <c r="AE73" s="17">
        <f t="shared" si="10"/>
        <v>2874.3300000000017</v>
      </c>
      <c r="AF73" s="20">
        <f t="shared" si="11"/>
        <v>3.2119226647985888E-2</v>
      </c>
      <c r="AH73" s="239">
        <v>0.2</v>
      </c>
      <c r="AI73" s="240">
        <v>1085</v>
      </c>
      <c r="AJ73" s="240">
        <f t="shared" si="12"/>
        <v>377580</v>
      </c>
      <c r="AL73" s="17">
        <v>84165.510000000009</v>
      </c>
      <c r="AM73" s="17">
        <f t="shared" si="13"/>
        <v>-5323.8799999999901</v>
      </c>
      <c r="AN73" s="20">
        <f t="shared" si="14"/>
        <v>-5.9491745334279179E-2</v>
      </c>
      <c r="AP73" s="17">
        <v>85203.85</v>
      </c>
      <c r="AQ73" s="17">
        <f t="shared" si="15"/>
        <v>-4285.5399999999936</v>
      </c>
      <c r="AR73" s="20">
        <f t="shared" si="16"/>
        <v>-4.7888805589131778E-2</v>
      </c>
    </row>
    <row r="74" spans="1:44" x14ac:dyDescent="0.3">
      <c r="A74" s="1">
        <f t="shared" si="22"/>
        <v>74</v>
      </c>
      <c r="B74" s="2" t="s">
        <v>15</v>
      </c>
      <c r="C74" s="2" t="s">
        <v>23</v>
      </c>
      <c r="D74" s="2" t="s">
        <v>31</v>
      </c>
      <c r="E74" s="14">
        <v>880</v>
      </c>
      <c r="F74" s="14">
        <v>506000</v>
      </c>
      <c r="H74" s="19">
        <v>88486.91</v>
      </c>
      <c r="I74" s="19"/>
      <c r="J74" s="185">
        <v>0.2</v>
      </c>
      <c r="K74" s="242">
        <v>880</v>
      </c>
      <c r="L74" s="14">
        <f t="shared" si="17"/>
        <v>404800</v>
      </c>
      <c r="M74" s="19"/>
      <c r="N74" s="16">
        <v>97099.28</v>
      </c>
      <c r="O74" s="17">
        <f t="shared" si="18"/>
        <v>8612.3699999999953</v>
      </c>
      <c r="P74" s="18">
        <f t="shared" si="19"/>
        <v>9.7329311194164145E-2</v>
      </c>
      <c r="Q74" s="19"/>
      <c r="R74" s="16">
        <v>98476.87</v>
      </c>
      <c r="S74" s="17">
        <f t="shared" si="7"/>
        <v>9989.9599999999919</v>
      </c>
      <c r="T74" s="20">
        <f t="shared" si="20"/>
        <v>0.11289760259455316</v>
      </c>
      <c r="V74" s="239">
        <v>0.2</v>
      </c>
      <c r="W74" s="240">
        <v>880</v>
      </c>
      <c r="X74" s="240">
        <f t="shared" si="21"/>
        <v>404800</v>
      </c>
      <c r="Z74" s="17">
        <v>90316.1</v>
      </c>
      <c r="AA74" s="17">
        <f t="shared" si="8"/>
        <v>1829.1900000000023</v>
      </c>
      <c r="AB74" s="20">
        <f t="shared" si="9"/>
        <v>2.0671871127605226E-2</v>
      </c>
      <c r="AD74" s="17">
        <v>91568.450000000012</v>
      </c>
      <c r="AE74" s="17">
        <f t="shared" si="10"/>
        <v>3081.5400000000081</v>
      </c>
      <c r="AF74" s="20">
        <f t="shared" si="11"/>
        <v>3.4824811941110929E-2</v>
      </c>
      <c r="AH74" s="239">
        <v>0.2</v>
      </c>
      <c r="AI74" s="240">
        <v>880</v>
      </c>
      <c r="AJ74" s="240">
        <f t="shared" si="12"/>
        <v>404800</v>
      </c>
      <c r="AL74" s="17">
        <v>82779.23000000001</v>
      </c>
      <c r="AM74" s="17">
        <f t="shared" si="13"/>
        <v>-5707.679999999993</v>
      </c>
      <c r="AN74" s="20">
        <f t="shared" si="14"/>
        <v>-6.4503099950037723E-2</v>
      </c>
      <c r="AP74" s="17">
        <v>83892.43</v>
      </c>
      <c r="AQ74" s="17">
        <f t="shared" si="15"/>
        <v>-4594.4800000000105</v>
      </c>
      <c r="AR74" s="20">
        <f t="shared" si="16"/>
        <v>-5.1922708115810692E-2</v>
      </c>
    </row>
    <row r="75" spans="1:44" x14ac:dyDescent="0.3">
      <c r="A75" s="1">
        <f t="shared" si="22"/>
        <v>75</v>
      </c>
      <c r="F75" s="14"/>
      <c r="H75" s="19"/>
      <c r="I75" s="19"/>
      <c r="J75" s="185"/>
      <c r="K75" s="242"/>
      <c r="L75" s="14"/>
      <c r="M75" s="19"/>
      <c r="N75" s="16"/>
      <c r="O75" s="17"/>
      <c r="P75" s="18"/>
      <c r="Q75" s="19"/>
      <c r="R75" s="16"/>
      <c r="S75" s="17"/>
      <c r="T75" s="20"/>
      <c r="V75" s="239"/>
      <c r="W75" s="240"/>
      <c r="X75" s="240"/>
      <c r="Z75" s="17"/>
      <c r="AA75" s="17"/>
      <c r="AB75" s="20"/>
      <c r="AD75" s="17"/>
      <c r="AE75" s="17"/>
      <c r="AF75" s="20"/>
      <c r="AH75" s="239"/>
      <c r="AI75" s="240"/>
      <c r="AJ75" s="240"/>
      <c r="AL75" s="17"/>
      <c r="AM75" s="17"/>
      <c r="AN75" s="20"/>
      <c r="AP75" s="17"/>
      <c r="AQ75" s="17"/>
      <c r="AR75" s="20"/>
    </row>
    <row r="76" spans="1:44" x14ac:dyDescent="0.3">
      <c r="A76" s="1">
        <f t="shared" si="22"/>
        <v>76</v>
      </c>
      <c r="B76" s="2" t="s">
        <v>15</v>
      </c>
      <c r="C76" s="2" t="s">
        <v>24</v>
      </c>
      <c r="D76" s="2" t="s">
        <v>31</v>
      </c>
      <c r="E76" s="14">
        <v>920</v>
      </c>
      <c r="F76" s="14">
        <v>230000</v>
      </c>
      <c r="H76" s="19">
        <v>51359.8</v>
      </c>
      <c r="I76" s="19"/>
      <c r="J76" s="185">
        <v>0.2</v>
      </c>
      <c r="K76" s="242">
        <v>920</v>
      </c>
      <c r="L76" s="14">
        <f t="shared" si="17"/>
        <v>184000</v>
      </c>
      <c r="M76" s="19"/>
      <c r="N76" s="16">
        <v>55222.3</v>
      </c>
      <c r="O76" s="17">
        <f t="shared" si="18"/>
        <v>3862.5</v>
      </c>
      <c r="P76" s="18">
        <f t="shared" si="19"/>
        <v>7.5204732105654606E-2</v>
      </c>
      <c r="Q76" s="19"/>
      <c r="R76" s="16">
        <v>55848.479999999996</v>
      </c>
      <c r="S76" s="17">
        <f t="shared" si="7"/>
        <v>4488.679999999993</v>
      </c>
      <c r="T76" s="20">
        <f t="shared" si="20"/>
        <v>8.7396757775536363E-2</v>
      </c>
      <c r="V76" s="239">
        <v>0.2</v>
      </c>
      <c r="W76" s="240">
        <v>920</v>
      </c>
      <c r="X76" s="240">
        <f t="shared" si="21"/>
        <v>184000</v>
      </c>
      <c r="Z76" s="17">
        <v>51669.149999999994</v>
      </c>
      <c r="AA76" s="17">
        <f t="shared" si="8"/>
        <v>309.34999999999127</v>
      </c>
      <c r="AB76" s="20">
        <f t="shared" si="9"/>
        <v>6.0231932367336176E-3</v>
      </c>
      <c r="AD76" s="17">
        <v>52238.399999999994</v>
      </c>
      <c r="AE76" s="17">
        <f t="shared" si="10"/>
        <v>878.59999999999127</v>
      </c>
      <c r="AF76" s="20">
        <f t="shared" si="11"/>
        <v>1.7106764434440772E-2</v>
      </c>
      <c r="AH76" s="239">
        <v>0.2</v>
      </c>
      <c r="AI76" s="240">
        <v>920</v>
      </c>
      <c r="AJ76" s="240">
        <f t="shared" si="12"/>
        <v>184000</v>
      </c>
      <c r="AL76" s="17">
        <v>47721.2</v>
      </c>
      <c r="AM76" s="17">
        <f t="shared" si="13"/>
        <v>-3638.6000000000058</v>
      </c>
      <c r="AN76" s="20">
        <f t="shared" si="14"/>
        <v>-7.0845291453627265E-2</v>
      </c>
      <c r="AP76" s="17">
        <v>48227.199999999997</v>
      </c>
      <c r="AQ76" s="17">
        <f t="shared" si="15"/>
        <v>-3132.6000000000058</v>
      </c>
      <c r="AR76" s="20">
        <f t="shared" si="16"/>
        <v>-6.0993228166776457E-2</v>
      </c>
    </row>
    <row r="77" spans="1:44" x14ac:dyDescent="0.3">
      <c r="A77" s="1">
        <f t="shared" si="22"/>
        <v>77</v>
      </c>
      <c r="B77" s="2" t="s">
        <v>15</v>
      </c>
      <c r="C77" s="2" t="s">
        <v>24</v>
      </c>
      <c r="D77" s="2" t="s">
        <v>31</v>
      </c>
      <c r="E77" s="14">
        <v>933</v>
      </c>
      <c r="F77" s="14">
        <v>373200</v>
      </c>
      <c r="H77" s="19">
        <v>73504.34</v>
      </c>
      <c r="I77" s="19"/>
      <c r="J77" s="185">
        <v>0.2</v>
      </c>
      <c r="K77" s="242">
        <v>933</v>
      </c>
      <c r="L77" s="14">
        <f t="shared" si="17"/>
        <v>298560</v>
      </c>
      <c r="M77" s="19"/>
      <c r="N77" s="16">
        <v>79771.67</v>
      </c>
      <c r="O77" s="17">
        <f t="shared" si="18"/>
        <v>6267.3300000000017</v>
      </c>
      <c r="P77" s="18">
        <f t="shared" si="19"/>
        <v>8.5264761237227649E-2</v>
      </c>
      <c r="Q77" s="19"/>
      <c r="R77" s="16">
        <v>80787.710000000006</v>
      </c>
      <c r="S77" s="17">
        <f t="shared" si="7"/>
        <v>7283.3700000000099</v>
      </c>
      <c r="T77" s="20">
        <f t="shared" si="20"/>
        <v>9.9087618499805727E-2</v>
      </c>
      <c r="V77" s="239">
        <v>0.2</v>
      </c>
      <c r="W77" s="240">
        <v>933</v>
      </c>
      <c r="X77" s="240">
        <f t="shared" si="21"/>
        <v>298560</v>
      </c>
      <c r="Z77" s="17">
        <v>74006.290000000008</v>
      </c>
      <c r="AA77" s="17">
        <f t="shared" si="8"/>
        <v>501.95000000001164</v>
      </c>
      <c r="AB77" s="20">
        <f t="shared" si="9"/>
        <v>6.8288484734372375E-3</v>
      </c>
      <c r="AD77" s="17">
        <v>74929.959999999992</v>
      </c>
      <c r="AE77" s="17">
        <f t="shared" si="10"/>
        <v>1425.6199999999953</v>
      </c>
      <c r="AF77" s="20">
        <f t="shared" si="11"/>
        <v>1.9395045244947378E-2</v>
      </c>
      <c r="AH77" s="239">
        <v>0.2</v>
      </c>
      <c r="AI77" s="240">
        <v>933</v>
      </c>
      <c r="AJ77" s="240">
        <f t="shared" si="12"/>
        <v>298560</v>
      </c>
      <c r="AL77" s="17">
        <v>67600.31</v>
      </c>
      <c r="AM77" s="17">
        <f t="shared" si="13"/>
        <v>-5904.0299999999988</v>
      </c>
      <c r="AN77" s="20">
        <f t="shared" si="14"/>
        <v>-8.0322195941083196E-2</v>
      </c>
      <c r="AP77" s="17">
        <v>68421.350000000006</v>
      </c>
      <c r="AQ77" s="17">
        <f t="shared" si="15"/>
        <v>-5082.9899999999907</v>
      </c>
      <c r="AR77" s="20">
        <f t="shared" si="16"/>
        <v>-6.9152243255296092E-2</v>
      </c>
    </row>
    <row r="78" spans="1:44" x14ac:dyDescent="0.3">
      <c r="A78" s="1">
        <f t="shared" si="22"/>
        <v>78</v>
      </c>
      <c r="B78" s="2" t="s">
        <v>15</v>
      </c>
      <c r="C78" s="2" t="s">
        <v>24</v>
      </c>
      <c r="D78" s="2" t="s">
        <v>31</v>
      </c>
      <c r="E78" s="14">
        <v>930</v>
      </c>
      <c r="F78" s="14">
        <v>497550</v>
      </c>
      <c r="H78" s="19">
        <v>92497.71</v>
      </c>
      <c r="I78" s="19"/>
      <c r="J78" s="185">
        <v>0.2</v>
      </c>
      <c r="K78" s="242">
        <v>930</v>
      </c>
      <c r="L78" s="14">
        <f t="shared" si="17"/>
        <v>398040</v>
      </c>
      <c r="M78" s="19"/>
      <c r="N78" s="16">
        <v>100853.31</v>
      </c>
      <c r="O78" s="17">
        <f t="shared" si="18"/>
        <v>8355.5999999999913</v>
      </c>
      <c r="P78" s="18">
        <f t="shared" si="19"/>
        <v>9.0333047164086452E-2</v>
      </c>
      <c r="Q78" s="19"/>
      <c r="R78" s="16">
        <v>102207.88999999998</v>
      </c>
      <c r="S78" s="17">
        <f t="shared" ref="S78:S107" si="23">+R78-H78</f>
        <v>9710.1799999999785</v>
      </c>
      <c r="T78" s="20">
        <f t="shared" si="20"/>
        <v>0.10497751782179232</v>
      </c>
      <c r="V78" s="239">
        <v>0.2</v>
      </c>
      <c r="W78" s="240">
        <v>930</v>
      </c>
      <c r="X78" s="240">
        <f t="shared" si="21"/>
        <v>398040</v>
      </c>
      <c r="Z78" s="17">
        <v>93166.91</v>
      </c>
      <c r="AA78" s="17">
        <f t="shared" ref="AA78:AA107" si="24">Z78-H78</f>
        <v>669.19999999999709</v>
      </c>
      <c r="AB78" s="20">
        <f t="shared" ref="AB78:AB107" si="25">AA78/H78</f>
        <v>7.2347737041273457E-3</v>
      </c>
      <c r="AD78" s="17">
        <v>94398.35</v>
      </c>
      <c r="AE78" s="17">
        <f t="shared" ref="AE78:AE107" si="26">AD78-H78</f>
        <v>1900.6399999999994</v>
      </c>
      <c r="AF78" s="20">
        <f t="shared" ref="AF78:AF107" si="27">AE78/H78</f>
        <v>2.0547968160509047E-2</v>
      </c>
      <c r="AH78" s="239">
        <v>0.2</v>
      </c>
      <c r="AI78" s="240">
        <v>930</v>
      </c>
      <c r="AJ78" s="240">
        <f t="shared" ref="AJ78:AJ107" si="28">F78*(1-AH78)</f>
        <v>398040</v>
      </c>
      <c r="AL78" s="17">
        <v>84626.46</v>
      </c>
      <c r="AM78" s="17">
        <f t="shared" ref="AM78:AM107" si="29">AL78-H78</f>
        <v>-7871.25</v>
      </c>
      <c r="AN78" s="20">
        <f t="shared" ref="AN78:AN107" si="30">AM78/H78</f>
        <v>-8.509670131292979E-2</v>
      </c>
      <c r="AP78" s="17">
        <v>85721.07</v>
      </c>
      <c r="AQ78" s="17">
        <f t="shared" ref="AQ78:AQ107" si="31">AP78-H78</f>
        <v>-6776.6399999999994</v>
      </c>
      <c r="AR78" s="20">
        <f t="shared" ref="AR78:AR107" si="32">AQ78/H78</f>
        <v>-7.3262786721963166E-2</v>
      </c>
    </row>
    <row r="79" spans="1:44" x14ac:dyDescent="0.3">
      <c r="A79" s="1">
        <f t="shared" si="22"/>
        <v>79</v>
      </c>
      <c r="F79" s="14"/>
      <c r="H79" s="19"/>
      <c r="I79" s="19"/>
      <c r="J79" s="185"/>
      <c r="K79" s="242"/>
      <c r="L79" s="14"/>
      <c r="M79" s="19"/>
      <c r="N79" s="16"/>
      <c r="O79" s="17"/>
      <c r="P79" s="18"/>
      <c r="Q79" s="19"/>
      <c r="R79" s="16"/>
      <c r="S79" s="17"/>
      <c r="T79" s="20"/>
      <c r="V79" s="239"/>
      <c r="W79" s="240"/>
      <c r="X79" s="240"/>
      <c r="Z79" s="17"/>
      <c r="AA79" s="17"/>
      <c r="AB79" s="20"/>
      <c r="AD79" s="17"/>
      <c r="AE79" s="17"/>
      <c r="AF79" s="20"/>
      <c r="AH79" s="239"/>
      <c r="AI79" s="240"/>
      <c r="AJ79" s="240"/>
      <c r="AL79" s="17"/>
      <c r="AM79" s="17"/>
      <c r="AN79" s="20"/>
      <c r="AP79" s="17"/>
      <c r="AQ79" s="17"/>
      <c r="AR79" s="20"/>
    </row>
    <row r="80" spans="1:44" x14ac:dyDescent="0.3">
      <c r="A80" s="1">
        <f t="shared" si="22"/>
        <v>80</v>
      </c>
      <c r="B80" s="13" t="s">
        <v>17</v>
      </c>
      <c r="C80" s="13" t="s">
        <v>17</v>
      </c>
      <c r="D80" s="2" t="s">
        <v>31</v>
      </c>
      <c r="E80" s="14">
        <v>420</v>
      </c>
      <c r="F80" s="14">
        <v>107100</v>
      </c>
      <c r="H80" s="19">
        <v>22360.192999999999</v>
      </c>
      <c r="I80" s="19"/>
      <c r="J80" s="185">
        <v>0.2</v>
      </c>
      <c r="K80" s="242">
        <v>420</v>
      </c>
      <c r="L80" s="14">
        <f t="shared" ref="L80:L107" si="33">F80*(1-J80)</f>
        <v>85680</v>
      </c>
      <c r="M80" s="19"/>
      <c r="N80" s="16">
        <v>24200.74267</v>
      </c>
      <c r="O80" s="17">
        <f t="shared" ref="O80:O107" si="34">+N80-H80</f>
        <v>1840.5496700000003</v>
      </c>
      <c r="P80" s="18">
        <f t="shared" ref="P80:P107" si="35">+O80/H80</f>
        <v>8.2313675467828043E-2</v>
      </c>
      <c r="Q80" s="19"/>
      <c r="R80" s="16">
        <v>24492.322670000001</v>
      </c>
      <c r="S80" s="17">
        <f t="shared" si="23"/>
        <v>2132.1296700000021</v>
      </c>
      <c r="T80" s="20">
        <f t="shared" ref="T80:T107" si="36">+S80/H80</f>
        <v>9.5353813359303388E-2</v>
      </c>
      <c r="V80" s="239">
        <v>0.2</v>
      </c>
      <c r="W80" s="240">
        <v>420</v>
      </c>
      <c r="X80" s="240">
        <f t="shared" ref="X80:X107" si="37">F80*(1-V80)</f>
        <v>85680</v>
      </c>
      <c r="Z80" s="17">
        <v>22923.8897</v>
      </c>
      <c r="AA80" s="17">
        <f t="shared" si="24"/>
        <v>563.69670000000042</v>
      </c>
      <c r="AB80" s="20">
        <f t="shared" si="25"/>
        <v>2.5209831596712983E-2</v>
      </c>
      <c r="AD80" s="17">
        <v>23188.969700000001</v>
      </c>
      <c r="AE80" s="17">
        <f t="shared" si="26"/>
        <v>828.77670000000217</v>
      </c>
      <c r="AF80" s="20">
        <f t="shared" si="27"/>
        <v>3.7064827660476911E-2</v>
      </c>
      <c r="AH80" s="239">
        <v>0.2</v>
      </c>
      <c r="AI80" s="240">
        <v>420</v>
      </c>
      <c r="AJ80" s="240">
        <f t="shared" si="28"/>
        <v>85680</v>
      </c>
      <c r="AL80" s="17">
        <v>21505.1764</v>
      </c>
      <c r="AM80" s="17">
        <f t="shared" si="29"/>
        <v>-855.01659999999902</v>
      </c>
      <c r="AN80" s="20">
        <f t="shared" si="30"/>
        <v>-3.8238337209343366E-2</v>
      </c>
      <c r="AP80" s="17">
        <v>21740.796399999999</v>
      </c>
      <c r="AQ80" s="17">
        <f t="shared" si="31"/>
        <v>-619.39660000000003</v>
      </c>
      <c r="AR80" s="20">
        <f t="shared" si="32"/>
        <v>-2.7700861079329685E-2</v>
      </c>
    </row>
    <row r="81" spans="1:44" x14ac:dyDescent="0.3">
      <c r="A81" s="1">
        <f t="shared" si="22"/>
        <v>81</v>
      </c>
      <c r="B81" s="13" t="s">
        <v>17</v>
      </c>
      <c r="C81" s="13" t="s">
        <v>17</v>
      </c>
      <c r="D81" s="2" t="s">
        <v>31</v>
      </c>
      <c r="E81" s="14">
        <v>525</v>
      </c>
      <c r="F81" s="14">
        <v>225750</v>
      </c>
      <c r="H81" s="19">
        <v>38230.042500000003</v>
      </c>
      <c r="I81" s="19"/>
      <c r="J81" s="185">
        <v>0.2</v>
      </c>
      <c r="K81" s="242">
        <v>525</v>
      </c>
      <c r="L81" s="14">
        <f t="shared" si="33"/>
        <v>180600</v>
      </c>
      <c r="M81" s="19"/>
      <c r="N81" s="16">
        <v>42109.633275</v>
      </c>
      <c r="O81" s="17">
        <f t="shared" si="34"/>
        <v>3879.5907749999969</v>
      </c>
      <c r="P81" s="18">
        <f t="shared" si="35"/>
        <v>0.10148015856901013</v>
      </c>
      <c r="Q81" s="19"/>
      <c r="R81" s="16">
        <v>42724.233275000006</v>
      </c>
      <c r="S81" s="17">
        <f t="shared" si="23"/>
        <v>4494.1907750000028</v>
      </c>
      <c r="T81" s="20">
        <f t="shared" si="36"/>
        <v>0.11755652050347583</v>
      </c>
      <c r="V81" s="239">
        <v>0.2</v>
      </c>
      <c r="W81" s="240">
        <v>525</v>
      </c>
      <c r="X81" s="240">
        <f t="shared" si="37"/>
        <v>180600</v>
      </c>
      <c r="Z81" s="17">
        <v>39418.230250000001</v>
      </c>
      <c r="AA81" s="17">
        <f t="shared" si="24"/>
        <v>1188.1877499999973</v>
      </c>
      <c r="AB81" s="20">
        <f t="shared" si="25"/>
        <v>3.1079948446303643E-2</v>
      </c>
      <c r="AD81" s="17">
        <v>39976.960250000004</v>
      </c>
      <c r="AE81" s="17">
        <f t="shared" si="26"/>
        <v>1746.9177500000005</v>
      </c>
      <c r="AF81" s="20">
        <f t="shared" si="27"/>
        <v>4.5694894270651161E-2</v>
      </c>
      <c r="AH81" s="239">
        <v>0.2</v>
      </c>
      <c r="AI81" s="240">
        <v>525</v>
      </c>
      <c r="AJ81" s="240">
        <f t="shared" si="28"/>
        <v>180600</v>
      </c>
      <c r="AL81" s="17">
        <v>36427.788</v>
      </c>
      <c r="AM81" s="17">
        <f t="shared" si="29"/>
        <v>-1802.2545000000027</v>
      </c>
      <c r="AN81" s="20">
        <f t="shared" si="30"/>
        <v>-4.7142361926487596E-2</v>
      </c>
      <c r="AP81" s="17">
        <v>36924.438000000002</v>
      </c>
      <c r="AQ81" s="17">
        <f t="shared" si="31"/>
        <v>-1305.6045000000013</v>
      </c>
      <c r="AR81" s="20">
        <f t="shared" si="32"/>
        <v>-3.415126990769108E-2</v>
      </c>
    </row>
    <row r="82" spans="1:44" x14ac:dyDescent="0.3">
      <c r="A82" s="1">
        <f t="shared" si="22"/>
        <v>82</v>
      </c>
      <c r="B82" s="13" t="s">
        <v>17</v>
      </c>
      <c r="C82" s="13" t="s">
        <v>17</v>
      </c>
      <c r="D82" s="2" t="s">
        <v>31</v>
      </c>
      <c r="E82" s="14">
        <v>530</v>
      </c>
      <c r="F82" s="14">
        <v>294150</v>
      </c>
      <c r="H82" s="19">
        <v>46136.554499999998</v>
      </c>
      <c r="I82" s="19"/>
      <c r="J82" s="185">
        <v>0.2</v>
      </c>
      <c r="K82" s="242">
        <v>530</v>
      </c>
      <c r="L82" s="14">
        <f t="shared" si="33"/>
        <v>235320</v>
      </c>
      <c r="M82" s="19"/>
      <c r="N82" s="16">
        <v>51191.611955</v>
      </c>
      <c r="O82" s="17">
        <f t="shared" si="34"/>
        <v>5055.0574550000019</v>
      </c>
      <c r="P82" s="18">
        <f t="shared" si="35"/>
        <v>0.10956729451914321</v>
      </c>
      <c r="Q82" s="19"/>
      <c r="R82" s="16">
        <v>51992.441955000002</v>
      </c>
      <c r="S82" s="17">
        <f t="shared" si="23"/>
        <v>5855.8874550000037</v>
      </c>
      <c r="T82" s="20">
        <f t="shared" si="36"/>
        <v>0.126925114336399</v>
      </c>
      <c r="V82" s="239">
        <v>0.2</v>
      </c>
      <c r="W82" s="240">
        <v>530</v>
      </c>
      <c r="X82" s="240">
        <f t="shared" si="37"/>
        <v>235320</v>
      </c>
      <c r="Z82" s="17">
        <v>47684.749049999999</v>
      </c>
      <c r="AA82" s="17">
        <f t="shared" si="24"/>
        <v>1548.1945500000002</v>
      </c>
      <c r="AB82" s="20">
        <f t="shared" si="25"/>
        <v>3.3556787384285497E-2</v>
      </c>
      <c r="AD82" s="17">
        <v>48412.769050000003</v>
      </c>
      <c r="AE82" s="17">
        <f t="shared" si="26"/>
        <v>2276.2145500000042</v>
      </c>
      <c r="AF82" s="20">
        <f t="shared" si="27"/>
        <v>4.933646594697496E-2</v>
      </c>
      <c r="AH82" s="239">
        <v>0.2</v>
      </c>
      <c r="AI82" s="240">
        <v>530</v>
      </c>
      <c r="AJ82" s="240">
        <f t="shared" si="28"/>
        <v>235320</v>
      </c>
      <c r="AL82" s="17">
        <v>43788.233600000007</v>
      </c>
      <c r="AM82" s="17">
        <f t="shared" si="29"/>
        <v>-2348.3208999999915</v>
      </c>
      <c r="AN82" s="20">
        <f t="shared" si="30"/>
        <v>-5.0899355737541944E-2</v>
      </c>
      <c r="AP82" s="17">
        <v>44435.363599999997</v>
      </c>
      <c r="AQ82" s="17">
        <f t="shared" si="31"/>
        <v>-1701.1909000000014</v>
      </c>
      <c r="AR82" s="20">
        <f t="shared" si="32"/>
        <v>-3.6872950709832514E-2</v>
      </c>
    </row>
    <row r="83" spans="1:44" x14ac:dyDescent="0.3">
      <c r="A83" s="1">
        <f t="shared" si="22"/>
        <v>83</v>
      </c>
      <c r="F83" s="14"/>
      <c r="H83" s="19"/>
      <c r="I83" s="19"/>
      <c r="J83" s="185"/>
      <c r="K83" s="242"/>
      <c r="L83" s="14"/>
      <c r="M83" s="19"/>
      <c r="N83" s="16"/>
      <c r="O83" s="17"/>
      <c r="P83" s="18"/>
      <c r="Q83" s="19"/>
      <c r="R83" s="16"/>
      <c r="S83" s="17"/>
      <c r="T83" s="20"/>
      <c r="V83" s="239"/>
      <c r="W83" s="240"/>
      <c r="X83" s="240"/>
      <c r="Z83" s="17"/>
      <c r="AA83" s="17"/>
      <c r="AB83" s="20"/>
      <c r="AD83" s="17"/>
      <c r="AE83" s="17"/>
      <c r="AF83" s="20"/>
      <c r="AH83" s="239"/>
      <c r="AI83" s="240"/>
      <c r="AJ83" s="240"/>
      <c r="AL83" s="17"/>
      <c r="AM83" s="17"/>
      <c r="AN83" s="20"/>
      <c r="AP83" s="17"/>
      <c r="AQ83" s="17"/>
      <c r="AR83" s="20"/>
    </row>
    <row r="84" spans="1:44" x14ac:dyDescent="0.3">
      <c r="A84" s="1">
        <f t="shared" si="22"/>
        <v>84</v>
      </c>
      <c r="B84" s="2" t="s">
        <v>15</v>
      </c>
      <c r="C84" s="2" t="s">
        <v>24</v>
      </c>
      <c r="D84" s="2" t="s">
        <v>32</v>
      </c>
      <c r="E84" s="14">
        <v>50</v>
      </c>
      <c r="F84" s="14">
        <v>5000</v>
      </c>
      <c r="H84" s="19">
        <v>1481.0500000000002</v>
      </c>
      <c r="I84" s="19"/>
      <c r="J84" s="185">
        <v>0.2</v>
      </c>
      <c r="K84" s="242">
        <v>50</v>
      </c>
      <c r="L84" s="14">
        <f t="shared" si="33"/>
        <v>4000</v>
      </c>
      <c r="M84" s="19"/>
      <c r="N84" s="16">
        <v>1562.31</v>
      </c>
      <c r="O84" s="17">
        <f t="shared" si="34"/>
        <v>81.259999999999764</v>
      </c>
      <c r="P84" s="18">
        <f t="shared" si="35"/>
        <v>5.4866479862259718E-2</v>
      </c>
      <c r="Q84" s="19"/>
      <c r="R84" s="16">
        <v>1575.92</v>
      </c>
      <c r="S84" s="17">
        <f t="shared" si="23"/>
        <v>94.869999999999891</v>
      </c>
      <c r="T84" s="20">
        <f t="shared" si="36"/>
        <v>6.4055906282704758E-2</v>
      </c>
      <c r="V84" s="239">
        <v>0.2</v>
      </c>
      <c r="W84" s="240">
        <v>50</v>
      </c>
      <c r="X84" s="240">
        <f t="shared" si="37"/>
        <v>4000</v>
      </c>
      <c r="Z84" s="17">
        <v>1460.7</v>
      </c>
      <c r="AA84" s="17">
        <f t="shared" si="24"/>
        <v>-20.350000000000136</v>
      </c>
      <c r="AB84" s="20">
        <f t="shared" si="25"/>
        <v>-1.3740251848350923E-2</v>
      </c>
      <c r="AD84" s="17">
        <v>1473.0700000000002</v>
      </c>
      <c r="AE84" s="17">
        <f t="shared" si="26"/>
        <v>-7.9800000000000182</v>
      </c>
      <c r="AF84" s="20">
        <f t="shared" si="27"/>
        <v>-5.3880692751764065E-3</v>
      </c>
      <c r="AH84" s="239">
        <v>0.2</v>
      </c>
      <c r="AI84" s="240">
        <v>50</v>
      </c>
      <c r="AJ84" s="240">
        <f t="shared" si="28"/>
        <v>4000</v>
      </c>
      <c r="AL84" s="17">
        <v>1347.7800000000002</v>
      </c>
      <c r="AM84" s="17">
        <f t="shared" si="29"/>
        <v>-133.26999999999998</v>
      </c>
      <c r="AN84" s="20">
        <f t="shared" si="30"/>
        <v>-8.9983457682049878E-2</v>
      </c>
      <c r="AP84" s="17">
        <v>1358.7800000000002</v>
      </c>
      <c r="AQ84" s="17">
        <f t="shared" si="31"/>
        <v>-122.26999999999998</v>
      </c>
      <c r="AR84" s="20">
        <f t="shared" si="32"/>
        <v>-8.2556294520779158E-2</v>
      </c>
    </row>
    <row r="85" spans="1:44" x14ac:dyDescent="0.3">
      <c r="A85" s="1">
        <f t="shared" si="22"/>
        <v>85</v>
      </c>
      <c r="B85" s="2" t="s">
        <v>15</v>
      </c>
      <c r="C85" s="2" t="s">
        <v>24</v>
      </c>
      <c r="D85" s="2" t="s">
        <v>32</v>
      </c>
      <c r="E85" s="14">
        <v>35</v>
      </c>
      <c r="F85" s="14">
        <v>7525</v>
      </c>
      <c r="H85" s="19">
        <v>1875.65</v>
      </c>
      <c r="I85" s="19"/>
      <c r="J85" s="185">
        <v>0.2</v>
      </c>
      <c r="K85" s="242">
        <v>35</v>
      </c>
      <c r="L85" s="14">
        <f t="shared" si="33"/>
        <v>6020</v>
      </c>
      <c r="M85" s="19"/>
      <c r="N85" s="16">
        <v>1997.96</v>
      </c>
      <c r="O85" s="17">
        <f t="shared" si="34"/>
        <v>122.30999999999995</v>
      </c>
      <c r="P85" s="18">
        <f t="shared" si="35"/>
        <v>6.5209394076720037E-2</v>
      </c>
      <c r="Q85" s="19"/>
      <c r="R85" s="16">
        <v>2018.44</v>
      </c>
      <c r="S85" s="17">
        <f t="shared" si="23"/>
        <v>142.78999999999996</v>
      </c>
      <c r="T85" s="20">
        <f t="shared" si="36"/>
        <v>7.6128275531149175E-2</v>
      </c>
      <c r="V85" s="239">
        <v>0.2</v>
      </c>
      <c r="W85" s="240">
        <v>35</v>
      </c>
      <c r="X85" s="240">
        <f t="shared" si="37"/>
        <v>6020</v>
      </c>
      <c r="Z85" s="17">
        <v>1845.01</v>
      </c>
      <c r="AA85" s="17">
        <f t="shared" si="24"/>
        <v>-30.6400000000001</v>
      </c>
      <c r="AB85" s="20">
        <f t="shared" si="25"/>
        <v>-1.6335670300962387E-2</v>
      </c>
      <c r="AD85" s="17">
        <v>1863.6399999999999</v>
      </c>
      <c r="AE85" s="17">
        <f t="shared" si="26"/>
        <v>-12.010000000000218</v>
      </c>
      <c r="AF85" s="20">
        <f t="shared" si="27"/>
        <v>-6.4031135872898558E-3</v>
      </c>
      <c r="AH85" s="239">
        <v>0.2</v>
      </c>
      <c r="AI85" s="240">
        <v>35</v>
      </c>
      <c r="AJ85" s="240">
        <f t="shared" si="28"/>
        <v>6020</v>
      </c>
      <c r="AL85" s="17">
        <v>1675.0900000000001</v>
      </c>
      <c r="AM85" s="17">
        <f t="shared" si="29"/>
        <v>-200.55999999999995</v>
      </c>
      <c r="AN85" s="20">
        <f t="shared" si="30"/>
        <v>-0.106928264868179</v>
      </c>
      <c r="AP85" s="17">
        <v>1691.65</v>
      </c>
      <c r="AQ85" s="17">
        <f t="shared" si="31"/>
        <v>-184</v>
      </c>
      <c r="AR85" s="20">
        <f t="shared" si="32"/>
        <v>-9.8099325567136728E-2</v>
      </c>
    </row>
    <row r="86" spans="1:44" x14ac:dyDescent="0.3">
      <c r="A86" s="1">
        <f t="shared" si="22"/>
        <v>86</v>
      </c>
      <c r="B86" s="2" t="s">
        <v>15</v>
      </c>
      <c r="C86" s="2" t="s">
        <v>24</v>
      </c>
      <c r="D86" s="2" t="s">
        <v>32</v>
      </c>
      <c r="E86" s="14">
        <v>27</v>
      </c>
      <c r="F86" s="14">
        <v>10530</v>
      </c>
      <c r="H86" s="19">
        <v>2429.91</v>
      </c>
      <c r="I86" s="19"/>
      <c r="J86" s="185">
        <v>0.2</v>
      </c>
      <c r="K86" s="242">
        <v>27</v>
      </c>
      <c r="L86" s="14">
        <f t="shared" si="33"/>
        <v>8424</v>
      </c>
      <c r="M86" s="19"/>
      <c r="N86" s="16">
        <v>2601.04</v>
      </c>
      <c r="O86" s="17">
        <f t="shared" si="34"/>
        <v>171.13000000000011</v>
      </c>
      <c r="P86" s="18">
        <f t="shared" si="35"/>
        <v>7.0426476700783211E-2</v>
      </c>
      <c r="Q86" s="19"/>
      <c r="R86" s="16">
        <v>2629.7</v>
      </c>
      <c r="S86" s="17">
        <f t="shared" si="23"/>
        <v>199.78999999999996</v>
      </c>
      <c r="T86" s="20">
        <f t="shared" si="36"/>
        <v>8.2221152223744903E-2</v>
      </c>
      <c r="V86" s="239">
        <v>0.2</v>
      </c>
      <c r="W86" s="240">
        <v>27</v>
      </c>
      <c r="X86" s="240">
        <f t="shared" si="37"/>
        <v>8424</v>
      </c>
      <c r="Z86" s="17">
        <v>2387.0300000000002</v>
      </c>
      <c r="AA86" s="17">
        <f t="shared" si="24"/>
        <v>-42.879999999999654</v>
      </c>
      <c r="AB86" s="20">
        <f t="shared" si="25"/>
        <v>-1.7646744118094769E-2</v>
      </c>
      <c r="AD86" s="17">
        <v>2413.09</v>
      </c>
      <c r="AE86" s="17">
        <f t="shared" si="26"/>
        <v>-16.819999999999709</v>
      </c>
      <c r="AF86" s="20">
        <f t="shared" si="27"/>
        <v>-6.9220670724428933E-3</v>
      </c>
      <c r="AH86" s="239">
        <v>0.2</v>
      </c>
      <c r="AI86" s="240">
        <v>27</v>
      </c>
      <c r="AJ86" s="240">
        <f t="shared" si="28"/>
        <v>8424</v>
      </c>
      <c r="AL86" s="17">
        <v>2149.2400000000002</v>
      </c>
      <c r="AM86" s="17">
        <f t="shared" si="29"/>
        <v>-280.66999999999962</v>
      </c>
      <c r="AN86" s="20">
        <f t="shared" si="30"/>
        <v>-0.11550633562559916</v>
      </c>
      <c r="AP86" s="17">
        <v>2172.4</v>
      </c>
      <c r="AQ86" s="17">
        <f t="shared" si="31"/>
        <v>-257.50999999999976</v>
      </c>
      <c r="AR86" s="20">
        <f t="shared" si="32"/>
        <v>-0.10597511842002369</v>
      </c>
    </row>
    <row r="87" spans="1:44" x14ac:dyDescent="0.3">
      <c r="A87" s="1">
        <f t="shared" si="22"/>
        <v>87</v>
      </c>
      <c r="E87" s="14"/>
      <c r="F87" s="14"/>
      <c r="H87" s="19"/>
      <c r="I87" s="19"/>
      <c r="J87" s="185"/>
      <c r="K87" s="242"/>
      <c r="L87" s="14"/>
      <c r="M87" s="19"/>
      <c r="N87" s="16"/>
      <c r="O87" s="17"/>
      <c r="P87" s="18"/>
      <c r="Q87" s="19"/>
      <c r="R87" s="16"/>
      <c r="S87" s="17"/>
      <c r="T87" s="20"/>
      <c r="V87" s="239"/>
      <c r="W87" s="240"/>
      <c r="X87" s="240"/>
      <c r="Z87" s="17"/>
      <c r="AA87" s="17"/>
      <c r="AB87" s="20"/>
      <c r="AD87" s="17"/>
      <c r="AE87" s="17"/>
      <c r="AF87" s="20"/>
      <c r="AH87" s="239"/>
      <c r="AI87" s="240"/>
      <c r="AJ87" s="240"/>
      <c r="AL87" s="17"/>
      <c r="AM87" s="17"/>
      <c r="AN87" s="20"/>
      <c r="AP87" s="17"/>
      <c r="AQ87" s="17"/>
      <c r="AR87" s="20"/>
    </row>
    <row r="88" spans="1:44" x14ac:dyDescent="0.3">
      <c r="A88" s="1">
        <f t="shared" si="22"/>
        <v>88</v>
      </c>
      <c r="B88" s="2" t="s">
        <v>15</v>
      </c>
      <c r="C88" s="2" t="s">
        <v>23</v>
      </c>
      <c r="D88" s="2" t="s">
        <v>33</v>
      </c>
      <c r="F88" s="14">
        <v>9649</v>
      </c>
      <c r="H88" s="19">
        <v>2413.2600000000002</v>
      </c>
      <c r="I88" s="19"/>
      <c r="J88" s="185">
        <v>0.2</v>
      </c>
      <c r="K88" s="242">
        <v>0</v>
      </c>
      <c r="L88" s="14">
        <f t="shared" si="33"/>
        <v>7719.2000000000007</v>
      </c>
      <c r="M88" s="19"/>
      <c r="N88" s="16">
        <v>2566.1</v>
      </c>
      <c r="O88" s="17">
        <f t="shared" si="34"/>
        <v>152.83999999999969</v>
      </c>
      <c r="P88" s="18">
        <f t="shared" si="35"/>
        <v>6.3333416208779691E-2</v>
      </c>
      <c r="Q88" s="19"/>
      <c r="R88" s="16">
        <v>2592.37</v>
      </c>
      <c r="S88" s="17">
        <f t="shared" si="23"/>
        <v>179.10999999999967</v>
      </c>
      <c r="T88" s="20">
        <f t="shared" si="36"/>
        <v>7.4219106105434002E-2</v>
      </c>
      <c r="V88" s="239">
        <v>0.2</v>
      </c>
      <c r="W88" s="240">
        <v>0</v>
      </c>
      <c r="X88" s="240">
        <f t="shared" si="37"/>
        <v>7719.2000000000007</v>
      </c>
      <c r="Z88" s="17">
        <v>2334.1800000000003</v>
      </c>
      <c r="AA88" s="17">
        <f t="shared" si="24"/>
        <v>-79.079999999999927</v>
      </c>
      <c r="AB88" s="20">
        <f t="shared" si="25"/>
        <v>-3.2768951542726403E-2</v>
      </c>
      <c r="AD88" s="17">
        <v>2358.06</v>
      </c>
      <c r="AE88" s="17">
        <f t="shared" si="26"/>
        <v>-55.200000000000273</v>
      </c>
      <c r="AF88" s="20">
        <f t="shared" si="27"/>
        <v>-2.2873623231645272E-2</v>
      </c>
      <c r="AH88" s="239">
        <v>0.2</v>
      </c>
      <c r="AI88" s="240">
        <v>0</v>
      </c>
      <c r="AJ88" s="240">
        <f t="shared" si="28"/>
        <v>7719.2000000000007</v>
      </c>
      <c r="AL88" s="17">
        <v>2076.4900000000002</v>
      </c>
      <c r="AM88" s="17">
        <f t="shared" si="29"/>
        <v>-336.77</v>
      </c>
      <c r="AN88" s="20">
        <f t="shared" si="30"/>
        <v>-0.13954982057465831</v>
      </c>
      <c r="AP88" s="17">
        <v>2097.7200000000003</v>
      </c>
      <c r="AQ88" s="17">
        <f t="shared" si="31"/>
        <v>-315.53999999999996</v>
      </c>
      <c r="AR88" s="20">
        <f t="shared" si="32"/>
        <v>-0.13075259192958899</v>
      </c>
    </row>
    <row r="89" spans="1:44" x14ac:dyDescent="0.3">
      <c r="A89" s="1">
        <f t="shared" si="22"/>
        <v>89</v>
      </c>
      <c r="F89" s="14"/>
      <c r="H89" s="19"/>
      <c r="I89" s="19"/>
      <c r="J89" s="185"/>
      <c r="K89" s="242"/>
      <c r="L89" s="14"/>
      <c r="M89" s="19"/>
      <c r="N89" s="16"/>
      <c r="O89" s="17"/>
      <c r="P89" s="18"/>
      <c r="Q89" s="19"/>
      <c r="R89" s="16"/>
      <c r="S89" s="17"/>
      <c r="T89" s="20"/>
      <c r="V89" s="239"/>
      <c r="W89" s="240"/>
      <c r="X89" s="240"/>
      <c r="Z89" s="17"/>
      <c r="AA89" s="17"/>
      <c r="AB89" s="20"/>
      <c r="AD89" s="17"/>
      <c r="AE89" s="17"/>
      <c r="AF89" s="20"/>
      <c r="AH89" s="239"/>
      <c r="AI89" s="240"/>
      <c r="AJ89" s="240"/>
      <c r="AL89" s="17"/>
      <c r="AM89" s="17"/>
      <c r="AN89" s="20"/>
      <c r="AP89" s="17"/>
      <c r="AQ89" s="17"/>
      <c r="AR89" s="20"/>
    </row>
    <row r="90" spans="1:44" x14ac:dyDescent="0.3">
      <c r="A90" s="1">
        <f t="shared" si="22"/>
        <v>90</v>
      </c>
      <c r="B90" s="2" t="s">
        <v>15</v>
      </c>
      <c r="C90" s="2" t="s">
        <v>24</v>
      </c>
      <c r="D90" s="2" t="s">
        <v>34</v>
      </c>
      <c r="F90" s="14">
        <v>69100</v>
      </c>
      <c r="H90" s="19">
        <v>16786.259999999998</v>
      </c>
      <c r="I90" s="19"/>
      <c r="J90" s="185">
        <v>0.2</v>
      </c>
      <c r="K90" s="242">
        <v>0</v>
      </c>
      <c r="L90" s="14">
        <f t="shared" si="33"/>
        <v>55280</v>
      </c>
      <c r="M90" s="19"/>
      <c r="N90" s="16">
        <v>17884.8</v>
      </c>
      <c r="O90" s="17">
        <f t="shared" si="34"/>
        <v>1098.5400000000009</v>
      </c>
      <c r="P90" s="18">
        <f t="shared" si="35"/>
        <v>6.5442808582733797E-2</v>
      </c>
      <c r="Q90" s="19"/>
      <c r="R90" s="16">
        <v>18072.919999999998</v>
      </c>
      <c r="S90" s="17">
        <f t="shared" si="23"/>
        <v>1286.6599999999999</v>
      </c>
      <c r="T90" s="20">
        <f t="shared" si="36"/>
        <v>7.6649593179183448E-2</v>
      </c>
      <c r="V90" s="239">
        <v>0.2</v>
      </c>
      <c r="W90" s="240">
        <v>0</v>
      </c>
      <c r="X90" s="240">
        <f t="shared" si="37"/>
        <v>55280</v>
      </c>
      <c r="Z90" s="17">
        <v>16260.28</v>
      </c>
      <c r="AA90" s="17">
        <f t="shared" si="24"/>
        <v>-525.97999999999774</v>
      </c>
      <c r="AB90" s="20">
        <f t="shared" si="25"/>
        <v>-3.1333960036362941E-2</v>
      </c>
      <c r="AD90" s="17">
        <v>16431.300000000003</v>
      </c>
      <c r="AE90" s="17">
        <f t="shared" si="26"/>
        <v>-354.95999999999549</v>
      </c>
      <c r="AF90" s="20">
        <f t="shared" si="27"/>
        <v>-2.1145865725896985E-2</v>
      </c>
      <c r="AH90" s="239">
        <v>0.2</v>
      </c>
      <c r="AI90" s="240">
        <v>0</v>
      </c>
      <c r="AJ90" s="240">
        <f t="shared" si="28"/>
        <v>55280</v>
      </c>
      <c r="AL90" s="17">
        <v>14455.25</v>
      </c>
      <c r="AM90" s="17">
        <f t="shared" si="29"/>
        <v>-2331.0099999999984</v>
      </c>
      <c r="AN90" s="20">
        <f t="shared" si="30"/>
        <v>-0.138864166288381</v>
      </c>
      <c r="AP90" s="17">
        <v>14607.27</v>
      </c>
      <c r="AQ90" s="17">
        <f t="shared" si="31"/>
        <v>-2178.989999999998</v>
      </c>
      <c r="AR90" s="20">
        <f t="shared" si="32"/>
        <v>-0.12980795007345283</v>
      </c>
    </row>
    <row r="91" spans="1:44" x14ac:dyDescent="0.3">
      <c r="A91" s="1">
        <f t="shared" si="22"/>
        <v>91</v>
      </c>
      <c r="F91" s="14"/>
      <c r="H91" s="19"/>
      <c r="I91" s="19"/>
      <c r="J91" s="185"/>
      <c r="K91" s="242"/>
      <c r="L91" s="14"/>
      <c r="M91" s="19"/>
      <c r="N91" s="16"/>
      <c r="O91" s="17"/>
      <c r="P91" s="18"/>
      <c r="Q91" s="19"/>
      <c r="R91" s="16"/>
      <c r="S91" s="17"/>
      <c r="T91" s="20"/>
      <c r="V91" s="239"/>
      <c r="W91" s="240"/>
      <c r="X91" s="240"/>
      <c r="Z91" s="17"/>
      <c r="AA91" s="17"/>
      <c r="AB91" s="20"/>
      <c r="AD91" s="17"/>
      <c r="AE91" s="17"/>
      <c r="AF91" s="20"/>
      <c r="AH91" s="239"/>
      <c r="AI91" s="240"/>
      <c r="AJ91" s="240"/>
      <c r="AL91" s="17"/>
      <c r="AM91" s="17"/>
      <c r="AN91" s="20"/>
      <c r="AP91" s="17"/>
      <c r="AQ91" s="17"/>
      <c r="AR91" s="20"/>
    </row>
    <row r="92" spans="1:44" x14ac:dyDescent="0.3">
      <c r="A92" s="1">
        <f t="shared" si="22"/>
        <v>92</v>
      </c>
      <c r="B92" s="2" t="s">
        <v>15</v>
      </c>
      <c r="C92" s="2" t="s">
        <v>23</v>
      </c>
      <c r="D92" s="2" t="s">
        <v>34</v>
      </c>
      <c r="F92" s="14">
        <v>3.5</v>
      </c>
      <c r="H92" s="19">
        <v>21</v>
      </c>
      <c r="I92" s="19"/>
      <c r="J92" s="185">
        <v>0.2</v>
      </c>
      <c r="K92" s="242">
        <v>0</v>
      </c>
      <c r="L92" s="14">
        <f t="shared" si="33"/>
        <v>2.8000000000000003</v>
      </c>
      <c r="M92" s="19"/>
      <c r="N92" s="16">
        <v>21.05</v>
      </c>
      <c r="O92" s="17">
        <f t="shared" si="34"/>
        <v>5.0000000000000711E-2</v>
      </c>
      <c r="P92" s="18">
        <f t="shared" si="35"/>
        <v>2.380952380952415E-3</v>
      </c>
      <c r="Q92" s="19"/>
      <c r="R92" s="16">
        <v>21.06</v>
      </c>
      <c r="S92" s="17">
        <f t="shared" si="23"/>
        <v>5.9999999999998721E-2</v>
      </c>
      <c r="T92" s="20">
        <f t="shared" si="36"/>
        <v>2.8571428571427964E-3</v>
      </c>
      <c r="V92" s="239">
        <v>0.2</v>
      </c>
      <c r="W92" s="240">
        <v>0</v>
      </c>
      <c r="X92" s="240">
        <f t="shared" si="37"/>
        <v>2.8000000000000003</v>
      </c>
      <c r="Z92" s="17">
        <v>20.95</v>
      </c>
      <c r="AA92" s="17">
        <f t="shared" si="24"/>
        <v>-5.0000000000000711E-2</v>
      </c>
      <c r="AB92" s="20">
        <f t="shared" si="25"/>
        <v>-2.380952380952415E-3</v>
      </c>
      <c r="AD92" s="17">
        <v>20.959999999999997</v>
      </c>
      <c r="AE92" s="17">
        <f t="shared" si="26"/>
        <v>-4.00000000000027E-2</v>
      </c>
      <c r="AF92" s="20">
        <f t="shared" si="27"/>
        <v>-1.9047619047620333E-3</v>
      </c>
      <c r="AH92" s="239">
        <v>0.2</v>
      </c>
      <c r="AI92" s="240">
        <v>0</v>
      </c>
      <c r="AJ92" s="240">
        <f t="shared" si="28"/>
        <v>2.8000000000000003</v>
      </c>
      <c r="AL92" s="17">
        <v>20.85</v>
      </c>
      <c r="AM92" s="17">
        <f t="shared" si="29"/>
        <v>-0.14999999999999858</v>
      </c>
      <c r="AN92" s="20">
        <f t="shared" si="30"/>
        <v>-7.142857142857075E-3</v>
      </c>
      <c r="AP92" s="17">
        <v>20.860000000000003</v>
      </c>
      <c r="AQ92" s="17">
        <f t="shared" si="31"/>
        <v>-0.13999999999999702</v>
      </c>
      <c r="AR92" s="20">
        <f t="shared" si="32"/>
        <v>-6.6666666666665248E-3</v>
      </c>
    </row>
    <row r="93" spans="1:44" x14ac:dyDescent="0.3">
      <c r="A93" s="1">
        <f t="shared" si="22"/>
        <v>93</v>
      </c>
      <c r="F93" s="14"/>
      <c r="H93" s="19"/>
      <c r="I93" s="19"/>
      <c r="J93" s="185"/>
      <c r="K93" s="242"/>
      <c r="L93" s="14"/>
      <c r="M93" s="19"/>
      <c r="N93" s="16"/>
      <c r="O93" s="17"/>
      <c r="P93" s="18"/>
      <c r="Q93" s="19"/>
      <c r="R93" s="16"/>
      <c r="S93" s="17"/>
      <c r="T93" s="20"/>
      <c r="V93" s="239"/>
      <c r="W93" s="240"/>
      <c r="X93" s="240"/>
      <c r="Z93" s="17"/>
      <c r="AA93" s="17"/>
      <c r="AB93" s="20"/>
      <c r="AD93" s="17"/>
      <c r="AE93" s="17"/>
      <c r="AF93" s="20"/>
      <c r="AH93" s="239"/>
      <c r="AI93" s="240"/>
      <c r="AJ93" s="240"/>
      <c r="AL93" s="17"/>
      <c r="AM93" s="17"/>
      <c r="AN93" s="20"/>
      <c r="AP93" s="17"/>
      <c r="AQ93" s="17"/>
      <c r="AR93" s="20"/>
    </row>
    <row r="94" spans="1:44" x14ac:dyDescent="0.3">
      <c r="A94" s="1">
        <f t="shared" si="22"/>
        <v>94</v>
      </c>
      <c r="B94" s="2" t="s">
        <v>15</v>
      </c>
      <c r="C94" s="2" t="s">
        <v>24</v>
      </c>
      <c r="D94" s="2" t="s">
        <v>35</v>
      </c>
      <c r="E94" s="14">
        <v>9</v>
      </c>
      <c r="F94" s="14">
        <v>2340</v>
      </c>
      <c r="H94" s="19">
        <v>626.29</v>
      </c>
      <c r="I94" s="19"/>
      <c r="J94" s="185">
        <v>0.2</v>
      </c>
      <c r="K94" s="242">
        <v>9</v>
      </c>
      <c r="L94" s="14">
        <f t="shared" si="33"/>
        <v>1872</v>
      </c>
      <c r="M94" s="19"/>
      <c r="N94" s="16">
        <v>663.49</v>
      </c>
      <c r="O94" s="17">
        <f t="shared" si="34"/>
        <v>37.200000000000045</v>
      </c>
      <c r="P94" s="18">
        <f t="shared" si="35"/>
        <v>5.9397403758642241E-2</v>
      </c>
      <c r="Q94" s="19"/>
      <c r="R94" s="16">
        <v>669.86</v>
      </c>
      <c r="S94" s="17">
        <f t="shared" si="23"/>
        <v>43.57000000000005</v>
      </c>
      <c r="T94" s="20">
        <f t="shared" si="36"/>
        <v>6.9568410800108657E-2</v>
      </c>
      <c r="V94" s="239">
        <v>0.2</v>
      </c>
      <c r="W94" s="240">
        <v>9</v>
      </c>
      <c r="X94" s="240">
        <f t="shared" si="37"/>
        <v>1872</v>
      </c>
      <c r="Z94" s="17">
        <v>608.48</v>
      </c>
      <c r="AA94" s="17">
        <f t="shared" si="24"/>
        <v>-17.809999999999945</v>
      </c>
      <c r="AB94" s="20">
        <f t="shared" si="25"/>
        <v>-2.8437305401650907E-2</v>
      </c>
      <c r="AD94" s="17">
        <v>614.27</v>
      </c>
      <c r="AE94" s="17">
        <f t="shared" si="26"/>
        <v>-12.019999999999982</v>
      </c>
      <c r="AF94" s="20">
        <f t="shared" si="27"/>
        <v>-1.9192386913410693E-2</v>
      </c>
      <c r="AH94" s="239">
        <v>0.2</v>
      </c>
      <c r="AI94" s="240">
        <v>9</v>
      </c>
      <c r="AJ94" s="240">
        <f t="shared" si="28"/>
        <v>1872</v>
      </c>
      <c r="AL94" s="17">
        <v>547.33000000000004</v>
      </c>
      <c r="AM94" s="17">
        <f t="shared" si="29"/>
        <v>-78.959999999999923</v>
      </c>
      <c r="AN94" s="20">
        <f t="shared" si="30"/>
        <v>-0.12607577959092423</v>
      </c>
      <c r="AP94" s="17">
        <v>552.48</v>
      </c>
      <c r="AQ94" s="17">
        <f t="shared" si="31"/>
        <v>-73.809999999999945</v>
      </c>
      <c r="AR94" s="20">
        <f t="shared" si="32"/>
        <v>-0.11785275192003697</v>
      </c>
    </row>
    <row r="95" spans="1:44" x14ac:dyDescent="0.3">
      <c r="A95" s="1">
        <f t="shared" si="22"/>
        <v>95</v>
      </c>
      <c r="B95" s="2" t="s">
        <v>15</v>
      </c>
      <c r="C95" s="2" t="s">
        <v>24</v>
      </c>
      <c r="D95" s="2" t="s">
        <v>35</v>
      </c>
      <c r="E95" s="14">
        <v>6</v>
      </c>
      <c r="F95" s="14">
        <v>2970</v>
      </c>
      <c r="H95" s="19">
        <v>766.49</v>
      </c>
      <c r="I95" s="19"/>
      <c r="J95" s="185">
        <v>0.2</v>
      </c>
      <c r="K95" s="242">
        <v>6</v>
      </c>
      <c r="L95" s="14">
        <f t="shared" si="33"/>
        <v>2376</v>
      </c>
      <c r="M95" s="19"/>
      <c r="N95" s="16">
        <v>813.7</v>
      </c>
      <c r="O95" s="17">
        <f t="shared" si="34"/>
        <v>47.210000000000036</v>
      </c>
      <c r="P95" s="18">
        <f t="shared" si="35"/>
        <v>6.1592453913293113E-2</v>
      </c>
      <c r="Q95" s="19"/>
      <c r="R95" s="16">
        <v>821.78</v>
      </c>
      <c r="S95" s="17">
        <f t="shared" si="23"/>
        <v>55.289999999999964</v>
      </c>
      <c r="T95" s="20">
        <f t="shared" si="36"/>
        <v>7.2134013490065055E-2</v>
      </c>
      <c r="V95" s="239">
        <v>0.2</v>
      </c>
      <c r="W95" s="240">
        <v>6</v>
      </c>
      <c r="X95" s="240">
        <f t="shared" si="37"/>
        <v>2376</v>
      </c>
      <c r="Z95" s="17">
        <v>743.87</v>
      </c>
      <c r="AA95" s="17">
        <f t="shared" si="24"/>
        <v>-22.620000000000005</v>
      </c>
      <c r="AB95" s="20">
        <f t="shared" si="25"/>
        <v>-2.9511148221111828E-2</v>
      </c>
      <c r="AD95" s="17">
        <v>751.22</v>
      </c>
      <c r="AE95" s="17">
        <f t="shared" si="26"/>
        <v>-15.269999999999982</v>
      </c>
      <c r="AF95" s="20">
        <f t="shared" si="27"/>
        <v>-1.9921982021944163E-2</v>
      </c>
      <c r="AH95" s="239">
        <v>0.2</v>
      </c>
      <c r="AI95" s="240">
        <v>6</v>
      </c>
      <c r="AJ95" s="240">
        <f t="shared" si="28"/>
        <v>2376</v>
      </c>
      <c r="AL95" s="17">
        <v>666.27</v>
      </c>
      <c r="AM95" s="17">
        <f t="shared" si="29"/>
        <v>-100.22000000000003</v>
      </c>
      <c r="AN95" s="20">
        <f t="shared" si="30"/>
        <v>-0.13075186890892251</v>
      </c>
      <c r="AP95" s="17">
        <v>672.8</v>
      </c>
      <c r="AQ95" s="17">
        <f t="shared" si="31"/>
        <v>-93.690000000000055</v>
      </c>
      <c r="AR95" s="20">
        <f t="shared" si="32"/>
        <v>-0.1222325144489818</v>
      </c>
    </row>
    <row r="96" spans="1:44" x14ac:dyDescent="0.3">
      <c r="A96" s="1">
        <f t="shared" si="22"/>
        <v>96</v>
      </c>
      <c r="B96" s="2" t="s">
        <v>15</v>
      </c>
      <c r="C96" s="2" t="s">
        <v>24</v>
      </c>
      <c r="D96" s="2" t="s">
        <v>35</v>
      </c>
      <c r="E96" s="14">
        <v>7</v>
      </c>
      <c r="F96" s="14">
        <v>4375</v>
      </c>
      <c r="H96" s="19">
        <v>1111.8</v>
      </c>
      <c r="I96" s="19"/>
      <c r="J96" s="185">
        <v>0.2</v>
      </c>
      <c r="K96" s="242">
        <v>7</v>
      </c>
      <c r="L96" s="14">
        <f t="shared" si="33"/>
        <v>3500</v>
      </c>
      <c r="M96" s="19"/>
      <c r="N96" s="16">
        <v>1181.3499999999999</v>
      </c>
      <c r="O96" s="17">
        <f t="shared" si="34"/>
        <v>69.549999999999955</v>
      </c>
      <c r="P96" s="18">
        <f t="shared" si="35"/>
        <v>6.255621514660907E-2</v>
      </c>
      <c r="Q96" s="19"/>
      <c r="R96" s="16">
        <v>1193.26</v>
      </c>
      <c r="S96" s="17">
        <f t="shared" si="23"/>
        <v>81.460000000000036</v>
      </c>
      <c r="T96" s="20">
        <f t="shared" si="36"/>
        <v>7.3268573484439686E-2</v>
      </c>
      <c r="V96" s="239">
        <v>0.2</v>
      </c>
      <c r="W96" s="240">
        <v>7</v>
      </c>
      <c r="X96" s="240">
        <f t="shared" si="37"/>
        <v>3500</v>
      </c>
      <c r="Z96" s="17">
        <v>1078.48</v>
      </c>
      <c r="AA96" s="17">
        <f t="shared" si="24"/>
        <v>-33.319999999999936</v>
      </c>
      <c r="AB96" s="20">
        <f t="shared" si="25"/>
        <v>-2.9969418960244593E-2</v>
      </c>
      <c r="AD96" s="17">
        <v>1089.31</v>
      </c>
      <c r="AE96" s="17">
        <f t="shared" si="26"/>
        <v>-22.490000000000009</v>
      </c>
      <c r="AF96" s="20">
        <f t="shared" si="27"/>
        <v>-2.0228458355819399E-2</v>
      </c>
      <c r="AH96" s="239">
        <v>0.2</v>
      </c>
      <c r="AI96" s="240">
        <v>7</v>
      </c>
      <c r="AJ96" s="240">
        <f t="shared" si="28"/>
        <v>3500</v>
      </c>
      <c r="AL96" s="17">
        <v>964.18000000000006</v>
      </c>
      <c r="AM96" s="17">
        <f t="shared" si="29"/>
        <v>-147.61999999999989</v>
      </c>
      <c r="AN96" s="20">
        <f t="shared" si="30"/>
        <v>-0.13277567907897095</v>
      </c>
      <c r="AP96" s="17">
        <v>973.81000000000006</v>
      </c>
      <c r="AQ96" s="17">
        <f t="shared" si="31"/>
        <v>-137.9899999999999</v>
      </c>
      <c r="AR96" s="20">
        <f t="shared" si="32"/>
        <v>-0.12411404928944046</v>
      </c>
    </row>
    <row r="97" spans="1:44" x14ac:dyDescent="0.3">
      <c r="A97" s="1">
        <f t="shared" si="22"/>
        <v>97</v>
      </c>
      <c r="E97" s="14"/>
      <c r="F97" s="14"/>
      <c r="H97" s="19"/>
      <c r="I97" s="19"/>
      <c r="J97" s="185"/>
      <c r="K97" s="242"/>
      <c r="L97" s="14"/>
      <c r="M97" s="19"/>
      <c r="N97" s="16"/>
      <c r="O97" s="17"/>
      <c r="P97" s="18"/>
      <c r="Q97" s="19"/>
      <c r="R97" s="16"/>
      <c r="S97" s="17"/>
      <c r="T97" s="20"/>
      <c r="V97" s="239"/>
      <c r="W97" s="240"/>
      <c r="X97" s="240"/>
      <c r="Z97" s="17"/>
      <c r="AA97" s="17"/>
      <c r="AB97" s="20"/>
      <c r="AD97" s="17"/>
      <c r="AE97" s="17"/>
      <c r="AF97" s="20"/>
      <c r="AH97" s="239"/>
      <c r="AI97" s="240"/>
      <c r="AJ97" s="240"/>
      <c r="AL97" s="17"/>
      <c r="AM97" s="17"/>
      <c r="AN97" s="20"/>
      <c r="AP97" s="17"/>
      <c r="AQ97" s="17"/>
      <c r="AR97" s="20"/>
    </row>
    <row r="98" spans="1:44" x14ac:dyDescent="0.3">
      <c r="A98" s="1">
        <f t="shared" si="22"/>
        <v>98</v>
      </c>
      <c r="B98" s="2" t="s">
        <v>15</v>
      </c>
      <c r="C98" s="2" t="s">
        <v>21</v>
      </c>
      <c r="D98" s="2" t="s">
        <v>36</v>
      </c>
      <c r="F98" s="14">
        <v>475</v>
      </c>
      <c r="H98" s="19">
        <v>146.79</v>
      </c>
      <c r="I98" s="19"/>
      <c r="J98" s="185">
        <v>0.2</v>
      </c>
      <c r="K98" s="242">
        <v>0</v>
      </c>
      <c r="L98" s="14">
        <f t="shared" si="33"/>
        <v>380</v>
      </c>
      <c r="M98" s="19"/>
      <c r="N98" s="16">
        <v>154.22</v>
      </c>
      <c r="O98" s="17">
        <f t="shared" si="34"/>
        <v>7.4300000000000068</v>
      </c>
      <c r="P98" s="18">
        <f t="shared" si="35"/>
        <v>5.0616527011376845E-2</v>
      </c>
      <c r="Q98" s="19"/>
      <c r="R98" s="16">
        <v>155.51</v>
      </c>
      <c r="S98" s="17">
        <f t="shared" si="23"/>
        <v>8.7199999999999989</v>
      </c>
      <c r="T98" s="20">
        <f t="shared" si="36"/>
        <v>5.9404591593432789E-2</v>
      </c>
      <c r="V98" s="239">
        <v>0.2</v>
      </c>
      <c r="W98" s="240">
        <v>0</v>
      </c>
      <c r="X98" s="240">
        <f t="shared" si="37"/>
        <v>380</v>
      </c>
      <c r="Z98" s="17">
        <v>142.01999999999998</v>
      </c>
      <c r="AA98" s="17">
        <f t="shared" si="24"/>
        <v>-4.7700000000000102</v>
      </c>
      <c r="AB98" s="20">
        <f t="shared" si="25"/>
        <v>-3.2495401594114112E-2</v>
      </c>
      <c r="AD98" s="17">
        <v>143.19</v>
      </c>
      <c r="AE98" s="17">
        <f t="shared" si="26"/>
        <v>-3.5999999999999943</v>
      </c>
      <c r="AF98" s="20">
        <f t="shared" si="27"/>
        <v>-2.4524831391784144E-2</v>
      </c>
      <c r="AH98" s="239">
        <v>0.2</v>
      </c>
      <c r="AI98" s="240">
        <v>0</v>
      </c>
      <c r="AJ98" s="240">
        <f t="shared" si="28"/>
        <v>380</v>
      </c>
      <c r="AL98" s="17">
        <v>128.46</v>
      </c>
      <c r="AM98" s="17">
        <f t="shared" si="29"/>
        <v>-18.329999999999984</v>
      </c>
      <c r="AN98" s="20">
        <f t="shared" si="30"/>
        <v>-0.12487226650316768</v>
      </c>
      <c r="AP98" s="17">
        <v>129.5</v>
      </c>
      <c r="AQ98" s="17">
        <f t="shared" si="31"/>
        <v>-17.289999999999992</v>
      </c>
      <c r="AR98" s="20">
        <f t="shared" si="32"/>
        <v>-0.11778731521220787</v>
      </c>
    </row>
    <row r="99" spans="1:44" x14ac:dyDescent="0.3">
      <c r="A99" s="1">
        <f t="shared" si="22"/>
        <v>99</v>
      </c>
      <c r="B99" s="2" t="s">
        <v>15</v>
      </c>
      <c r="C99" s="2" t="s">
        <v>21</v>
      </c>
      <c r="D99" s="2" t="s">
        <v>37</v>
      </c>
      <c r="E99" s="14"/>
      <c r="F99" s="14">
        <v>475</v>
      </c>
      <c r="H99" s="19">
        <v>152.94999999999999</v>
      </c>
      <c r="I99" s="19"/>
      <c r="J99" s="185">
        <v>0.2</v>
      </c>
      <c r="K99" s="242">
        <v>0</v>
      </c>
      <c r="L99" s="14">
        <f t="shared" si="33"/>
        <v>380</v>
      </c>
      <c r="M99" s="19"/>
      <c r="N99" s="16">
        <v>160.32</v>
      </c>
      <c r="O99" s="17">
        <f t="shared" si="34"/>
        <v>7.3700000000000045</v>
      </c>
      <c r="P99" s="18">
        <f t="shared" si="35"/>
        <v>4.8185681595292615E-2</v>
      </c>
      <c r="Q99" s="19"/>
      <c r="R99" s="16">
        <v>161.61000000000001</v>
      </c>
      <c r="S99" s="17">
        <f t="shared" si="23"/>
        <v>8.660000000000025</v>
      </c>
      <c r="T99" s="20">
        <f t="shared" si="36"/>
        <v>5.6619810395554269E-2</v>
      </c>
      <c r="V99" s="239">
        <v>0.2</v>
      </c>
      <c r="W99" s="240">
        <v>0</v>
      </c>
      <c r="X99" s="240">
        <f t="shared" si="37"/>
        <v>380</v>
      </c>
      <c r="Z99" s="17">
        <v>147.56</v>
      </c>
      <c r="AA99" s="17">
        <f t="shared" si="24"/>
        <v>-5.3899999999999864</v>
      </c>
      <c r="AB99" s="20">
        <f t="shared" si="25"/>
        <v>-3.5240274599542244E-2</v>
      </c>
      <c r="AD99" s="17">
        <v>148.74</v>
      </c>
      <c r="AE99" s="17">
        <f t="shared" si="26"/>
        <v>-4.2099999999999795</v>
      </c>
      <c r="AF99" s="20">
        <f t="shared" si="27"/>
        <v>-2.7525335076822359E-2</v>
      </c>
      <c r="AH99" s="239">
        <v>0.2</v>
      </c>
      <c r="AI99" s="240">
        <v>0</v>
      </c>
      <c r="AJ99" s="240">
        <f t="shared" si="28"/>
        <v>380</v>
      </c>
      <c r="AL99" s="17">
        <v>133.38</v>
      </c>
      <c r="AM99" s="17">
        <f t="shared" si="29"/>
        <v>-19.569999999999993</v>
      </c>
      <c r="AN99" s="20">
        <f t="shared" si="30"/>
        <v>-0.12795031055900619</v>
      </c>
      <c r="AP99" s="17">
        <v>134.43</v>
      </c>
      <c r="AQ99" s="17">
        <f t="shared" si="31"/>
        <v>-18.519999999999982</v>
      </c>
      <c r="AR99" s="20">
        <f t="shared" si="32"/>
        <v>-0.12108532200065369</v>
      </c>
    </row>
    <row r="100" spans="1:44" x14ac:dyDescent="0.3">
      <c r="A100" s="1">
        <f t="shared" si="22"/>
        <v>100</v>
      </c>
      <c r="F100" s="14"/>
      <c r="H100" s="19"/>
      <c r="I100" s="19"/>
      <c r="J100" s="185"/>
      <c r="K100" s="242"/>
      <c r="L100" s="14"/>
      <c r="M100" s="19"/>
      <c r="N100" s="16"/>
      <c r="O100" s="17"/>
      <c r="P100" s="18"/>
      <c r="Q100" s="19"/>
      <c r="R100" s="16"/>
      <c r="S100" s="17"/>
      <c r="T100" s="20"/>
      <c r="V100" s="239"/>
      <c r="W100" s="240"/>
      <c r="X100" s="240"/>
      <c r="Z100" s="17"/>
      <c r="AA100" s="17"/>
      <c r="AB100" s="20"/>
      <c r="AD100" s="17"/>
      <c r="AE100" s="17"/>
      <c r="AF100" s="20"/>
      <c r="AH100" s="239"/>
      <c r="AI100" s="240"/>
      <c r="AJ100" s="240"/>
      <c r="AL100" s="17"/>
      <c r="AM100" s="17"/>
      <c r="AN100" s="20"/>
      <c r="AP100" s="17"/>
      <c r="AQ100" s="17"/>
      <c r="AR100" s="20"/>
    </row>
    <row r="101" spans="1:44" x14ac:dyDescent="0.3">
      <c r="A101" s="1">
        <f t="shared" si="22"/>
        <v>101</v>
      </c>
      <c r="B101" s="13" t="s">
        <v>17</v>
      </c>
      <c r="C101" s="13" t="s">
        <v>17</v>
      </c>
      <c r="D101" s="2" t="s">
        <v>38</v>
      </c>
      <c r="E101" s="14">
        <v>130</v>
      </c>
      <c r="F101" s="14">
        <v>32500</v>
      </c>
      <c r="H101" s="19">
        <v>7151.38</v>
      </c>
      <c r="I101" s="19"/>
      <c r="J101" s="185">
        <v>0.2</v>
      </c>
      <c r="K101" s="242">
        <v>130</v>
      </c>
      <c r="L101" s="14">
        <f t="shared" si="33"/>
        <v>26000</v>
      </c>
      <c r="M101" s="19"/>
      <c r="N101" s="16">
        <v>7706.57</v>
      </c>
      <c r="O101" s="17">
        <f t="shared" si="34"/>
        <v>555.1899999999996</v>
      </c>
      <c r="P101" s="18">
        <f t="shared" si="35"/>
        <v>7.7633967150396097E-2</v>
      </c>
      <c r="Q101" s="19"/>
      <c r="R101" s="16">
        <v>7795.0499999999993</v>
      </c>
      <c r="S101" s="17">
        <f t="shared" si="23"/>
        <v>643.66999999999916</v>
      </c>
      <c r="T101" s="20">
        <f t="shared" si="36"/>
        <v>9.0006404358319539E-2</v>
      </c>
      <c r="V101" s="239">
        <v>0.2</v>
      </c>
      <c r="W101" s="240">
        <v>130</v>
      </c>
      <c r="X101" s="240">
        <f t="shared" si="37"/>
        <v>26000</v>
      </c>
      <c r="Z101" s="17">
        <v>7289.2099999999991</v>
      </c>
      <c r="AA101" s="17">
        <f t="shared" si="24"/>
        <v>137.82999999999902</v>
      </c>
      <c r="AB101" s="20">
        <f t="shared" si="25"/>
        <v>1.9273203213925005E-2</v>
      </c>
      <c r="AD101" s="17">
        <v>7369.65</v>
      </c>
      <c r="AE101" s="17">
        <f t="shared" si="26"/>
        <v>218.26999999999953</v>
      </c>
      <c r="AF101" s="20">
        <f t="shared" si="27"/>
        <v>3.0521381887132208E-2</v>
      </c>
      <c r="AH101" s="239">
        <v>0.2</v>
      </c>
      <c r="AI101" s="240">
        <v>130</v>
      </c>
      <c r="AJ101" s="240">
        <f t="shared" si="28"/>
        <v>26000</v>
      </c>
      <c r="AL101" s="17">
        <v>6825.48</v>
      </c>
      <c r="AM101" s="17">
        <f t="shared" si="29"/>
        <v>-325.90000000000055</v>
      </c>
      <c r="AN101" s="20">
        <f t="shared" si="30"/>
        <v>-4.5571623938316874E-2</v>
      </c>
      <c r="AP101" s="17">
        <v>6896.98</v>
      </c>
      <c r="AQ101" s="17">
        <f t="shared" si="31"/>
        <v>-254.40000000000055</v>
      </c>
      <c r="AR101" s="20">
        <f t="shared" si="32"/>
        <v>-3.5573553635801836E-2</v>
      </c>
    </row>
    <row r="102" spans="1:44" x14ac:dyDescent="0.3">
      <c r="A102" s="1">
        <f t="shared" si="22"/>
        <v>102</v>
      </c>
      <c r="B102" s="13" t="s">
        <v>17</v>
      </c>
      <c r="C102" s="13" t="s">
        <v>17</v>
      </c>
      <c r="D102" s="2" t="s">
        <v>38</v>
      </c>
      <c r="E102" s="14">
        <v>140</v>
      </c>
      <c r="F102" s="14">
        <v>56000</v>
      </c>
      <c r="H102" s="19">
        <v>10300.75</v>
      </c>
      <c r="I102" s="19"/>
      <c r="J102" s="185">
        <v>0.2</v>
      </c>
      <c r="K102" s="242">
        <v>140</v>
      </c>
      <c r="L102" s="14">
        <f t="shared" si="33"/>
        <v>44800</v>
      </c>
      <c r="M102" s="19"/>
      <c r="N102" s="16">
        <v>11257.400000000001</v>
      </c>
      <c r="O102" s="17">
        <f t="shared" si="34"/>
        <v>956.65000000000146</v>
      </c>
      <c r="P102" s="18">
        <f t="shared" si="35"/>
        <v>9.2871878261291799E-2</v>
      </c>
      <c r="Q102" s="19"/>
      <c r="R102" s="16">
        <v>11409.86</v>
      </c>
      <c r="S102" s="17">
        <f t="shared" si="23"/>
        <v>1109.1100000000006</v>
      </c>
      <c r="T102" s="20">
        <f t="shared" si="36"/>
        <v>0.10767274227604792</v>
      </c>
      <c r="V102" s="239">
        <v>0.2</v>
      </c>
      <c r="W102" s="240">
        <v>140</v>
      </c>
      <c r="X102" s="240">
        <f t="shared" si="37"/>
        <v>44800</v>
      </c>
      <c r="Z102" s="17">
        <v>10538.25</v>
      </c>
      <c r="AA102" s="17">
        <f t="shared" si="24"/>
        <v>237.5</v>
      </c>
      <c r="AB102" s="20">
        <f t="shared" si="25"/>
        <v>2.3056573550469625E-2</v>
      </c>
      <c r="AD102" s="17">
        <v>10676.849999999999</v>
      </c>
      <c r="AE102" s="17">
        <f t="shared" si="26"/>
        <v>376.09999999999854</v>
      </c>
      <c r="AF102" s="20">
        <f t="shared" si="27"/>
        <v>3.6511904472975129E-2</v>
      </c>
      <c r="AH102" s="239">
        <v>0.2</v>
      </c>
      <c r="AI102" s="240">
        <v>140</v>
      </c>
      <c r="AJ102" s="240">
        <f t="shared" si="28"/>
        <v>44800</v>
      </c>
      <c r="AL102" s="17">
        <v>9739.2000000000007</v>
      </c>
      <c r="AM102" s="17">
        <f t="shared" si="29"/>
        <v>-561.54999999999927</v>
      </c>
      <c r="AN102" s="20">
        <f t="shared" si="30"/>
        <v>-5.4515447904278744E-2</v>
      </c>
      <c r="AP102" s="17">
        <v>9862.4</v>
      </c>
      <c r="AQ102" s="17">
        <f t="shared" si="31"/>
        <v>-438.35000000000036</v>
      </c>
      <c r="AR102" s="20">
        <f t="shared" si="32"/>
        <v>-4.2555153750940503E-2</v>
      </c>
    </row>
    <row r="103" spans="1:44" x14ac:dyDescent="0.3">
      <c r="A103" s="1">
        <f t="shared" si="22"/>
        <v>103</v>
      </c>
      <c r="B103" s="13" t="s">
        <v>17</v>
      </c>
      <c r="C103" s="13" t="s">
        <v>17</v>
      </c>
      <c r="D103" s="2" t="s">
        <v>38</v>
      </c>
      <c r="E103" s="14">
        <v>100</v>
      </c>
      <c r="F103" s="14">
        <v>55000</v>
      </c>
      <c r="H103" s="19">
        <v>9251.77</v>
      </c>
      <c r="I103" s="19"/>
      <c r="J103" s="185">
        <v>0.2</v>
      </c>
      <c r="K103" s="242">
        <v>100</v>
      </c>
      <c r="L103" s="14">
        <f t="shared" si="33"/>
        <v>44000</v>
      </c>
      <c r="M103" s="19"/>
      <c r="N103" s="16">
        <v>10191.34</v>
      </c>
      <c r="O103" s="17">
        <f t="shared" si="34"/>
        <v>939.56999999999971</v>
      </c>
      <c r="P103" s="18">
        <f t="shared" si="35"/>
        <v>0.10155570231425982</v>
      </c>
      <c r="Q103" s="19"/>
      <c r="R103" s="16">
        <v>10341.07</v>
      </c>
      <c r="S103" s="17">
        <f t="shared" si="23"/>
        <v>1089.2999999999993</v>
      </c>
      <c r="T103" s="20">
        <f t="shared" si="36"/>
        <v>0.11773963252437093</v>
      </c>
      <c r="V103" s="239">
        <v>0.2</v>
      </c>
      <c r="W103" s="240">
        <v>100</v>
      </c>
      <c r="X103" s="240">
        <f t="shared" si="37"/>
        <v>44000</v>
      </c>
      <c r="Z103" s="17">
        <v>9485.0400000000009</v>
      </c>
      <c r="AA103" s="17">
        <f t="shared" si="24"/>
        <v>233.27000000000044</v>
      </c>
      <c r="AB103" s="20">
        <f t="shared" si="25"/>
        <v>2.5213553730799667E-2</v>
      </c>
      <c r="AD103" s="17">
        <v>9621.17</v>
      </c>
      <c r="AE103" s="17">
        <f t="shared" si="26"/>
        <v>369.39999999999964</v>
      </c>
      <c r="AF103" s="20">
        <f t="shared" si="27"/>
        <v>3.9927494955019377E-2</v>
      </c>
      <c r="AH103" s="239">
        <v>0.2</v>
      </c>
      <c r="AI103" s="240">
        <v>100</v>
      </c>
      <c r="AJ103" s="240">
        <f t="shared" si="28"/>
        <v>44000</v>
      </c>
      <c r="AL103" s="17">
        <v>8700.25</v>
      </c>
      <c r="AM103" s="17">
        <f t="shared" si="29"/>
        <v>-551.52000000000044</v>
      </c>
      <c r="AN103" s="20">
        <f t="shared" si="30"/>
        <v>-5.9612376874911548E-2</v>
      </c>
      <c r="AP103" s="17">
        <v>8821.25</v>
      </c>
      <c r="AQ103" s="17">
        <f t="shared" si="31"/>
        <v>-430.52000000000044</v>
      </c>
      <c r="AR103" s="20">
        <f t="shared" si="32"/>
        <v>-4.6533798397495878E-2</v>
      </c>
    </row>
    <row r="104" spans="1:44" x14ac:dyDescent="0.3">
      <c r="A104" s="1">
        <f t="shared" si="22"/>
        <v>104</v>
      </c>
      <c r="F104" s="14"/>
      <c r="H104" s="19"/>
      <c r="I104" s="19"/>
      <c r="J104" s="185"/>
      <c r="K104" s="242"/>
      <c r="L104" s="14"/>
      <c r="M104" s="19"/>
      <c r="N104" s="16"/>
      <c r="O104" s="17"/>
      <c r="P104" s="18"/>
      <c r="Q104" s="19"/>
      <c r="R104" s="16"/>
      <c r="S104" s="17"/>
      <c r="T104" s="20"/>
      <c r="V104" s="239"/>
      <c r="W104" s="240"/>
      <c r="X104" s="240"/>
      <c r="Z104" s="17"/>
      <c r="AA104" s="17"/>
      <c r="AB104" s="20"/>
      <c r="AD104" s="17"/>
      <c r="AE104" s="17"/>
      <c r="AF104" s="20"/>
      <c r="AH104" s="239"/>
      <c r="AI104" s="240"/>
      <c r="AJ104" s="240"/>
      <c r="AL104" s="17"/>
      <c r="AM104" s="17"/>
      <c r="AN104" s="20"/>
      <c r="AP104" s="17"/>
      <c r="AQ104" s="17"/>
      <c r="AR104" s="20"/>
    </row>
    <row r="105" spans="1:44" x14ac:dyDescent="0.3">
      <c r="A105" s="1">
        <f t="shared" si="22"/>
        <v>105</v>
      </c>
      <c r="B105" s="13" t="s">
        <v>17</v>
      </c>
      <c r="C105" s="13" t="s">
        <v>17</v>
      </c>
      <c r="D105" s="2" t="s">
        <v>39</v>
      </c>
      <c r="E105" s="14">
        <v>3600</v>
      </c>
      <c r="F105" s="14">
        <v>936000</v>
      </c>
      <c r="H105" s="19">
        <v>183524.09599999999</v>
      </c>
      <c r="I105" s="19"/>
      <c r="J105" s="185">
        <v>0.2</v>
      </c>
      <c r="K105" s="242">
        <v>3600</v>
      </c>
      <c r="L105" s="14">
        <f t="shared" si="33"/>
        <v>748800</v>
      </c>
      <c r="M105" s="19"/>
      <c r="N105" s="16">
        <v>199609.76143999997</v>
      </c>
      <c r="O105" s="17">
        <f t="shared" si="34"/>
        <v>16085.665439999982</v>
      </c>
      <c r="P105" s="18">
        <f t="shared" si="35"/>
        <v>8.7648792668620384E-2</v>
      </c>
      <c r="Q105" s="19"/>
      <c r="R105" s="16">
        <v>202158.02143999998</v>
      </c>
      <c r="S105" s="17">
        <f t="shared" si="23"/>
        <v>18633.925439999992</v>
      </c>
      <c r="T105" s="20">
        <f t="shared" si="36"/>
        <v>0.10153394483959204</v>
      </c>
      <c r="V105" s="239">
        <v>0.2</v>
      </c>
      <c r="W105" s="240">
        <v>3600</v>
      </c>
      <c r="X105" s="240">
        <f t="shared" si="37"/>
        <v>748800</v>
      </c>
      <c r="Z105" s="17">
        <v>188452.51039999997</v>
      </c>
      <c r="AA105" s="17">
        <f t="shared" si="24"/>
        <v>4928.4143999999797</v>
      </c>
      <c r="AB105" s="20">
        <f t="shared" si="25"/>
        <v>2.6854317811215264E-2</v>
      </c>
      <c r="AD105" s="17">
        <v>190769.11040000001</v>
      </c>
      <c r="AE105" s="17">
        <f t="shared" si="26"/>
        <v>7245.0144000000146</v>
      </c>
      <c r="AF105" s="20">
        <f t="shared" si="27"/>
        <v>3.9477183421189638E-2</v>
      </c>
      <c r="AH105" s="239">
        <v>0.2</v>
      </c>
      <c r="AI105" s="240">
        <v>3600</v>
      </c>
      <c r="AJ105" s="240">
        <f t="shared" si="28"/>
        <v>748800</v>
      </c>
      <c r="AL105" s="17">
        <v>176055.56479999999</v>
      </c>
      <c r="AM105" s="17">
        <f t="shared" si="29"/>
        <v>-7468.5311999999976</v>
      </c>
      <c r="AN105" s="20">
        <f t="shared" si="30"/>
        <v>-4.0695098697012502E-2</v>
      </c>
      <c r="AP105" s="17">
        <v>178114.76479999998</v>
      </c>
      <c r="AQ105" s="17">
        <f t="shared" si="31"/>
        <v>-5409.3312000000151</v>
      </c>
      <c r="AR105" s="20">
        <f t="shared" si="32"/>
        <v>-2.9474773710368884E-2</v>
      </c>
    </row>
    <row r="106" spans="1:44" x14ac:dyDescent="0.3">
      <c r="A106" s="1">
        <f t="shared" si="22"/>
        <v>106</v>
      </c>
      <c r="B106" s="13" t="s">
        <v>17</v>
      </c>
      <c r="C106" s="13" t="s">
        <v>17</v>
      </c>
      <c r="D106" s="2" t="s">
        <v>39</v>
      </c>
      <c r="E106" s="14">
        <v>4000</v>
      </c>
      <c r="F106" s="14">
        <v>1940000</v>
      </c>
      <c r="H106" s="19">
        <v>306035.83999999997</v>
      </c>
      <c r="I106" s="19"/>
      <c r="J106" s="185">
        <v>0.2</v>
      </c>
      <c r="K106" s="242">
        <v>4000</v>
      </c>
      <c r="L106" s="14">
        <f t="shared" si="33"/>
        <v>1552000</v>
      </c>
      <c r="M106" s="19"/>
      <c r="N106" s="16">
        <v>339375.78759999998</v>
      </c>
      <c r="O106" s="17">
        <f t="shared" si="34"/>
        <v>33339.947600000014</v>
      </c>
      <c r="P106" s="18">
        <f t="shared" si="35"/>
        <v>0.10894131746137975</v>
      </c>
      <c r="Q106" s="19"/>
      <c r="R106" s="16">
        <v>344657.43759999995</v>
      </c>
      <c r="S106" s="17">
        <f t="shared" si="23"/>
        <v>38621.597599999979</v>
      </c>
      <c r="T106" s="20">
        <f t="shared" si="36"/>
        <v>0.12619959021792998</v>
      </c>
      <c r="V106" s="239">
        <v>0.2</v>
      </c>
      <c r="W106" s="240">
        <v>4000</v>
      </c>
      <c r="X106" s="240">
        <f t="shared" si="37"/>
        <v>1552000</v>
      </c>
      <c r="Z106" s="17">
        <v>316250.71600000001</v>
      </c>
      <c r="AA106" s="17">
        <f t="shared" si="24"/>
        <v>10214.876000000047</v>
      </c>
      <c r="AB106" s="20">
        <f t="shared" si="25"/>
        <v>3.3378038336947885E-2</v>
      </c>
      <c r="AD106" s="17">
        <v>321052.21600000001</v>
      </c>
      <c r="AE106" s="17">
        <f t="shared" si="26"/>
        <v>15016.376000000047</v>
      </c>
      <c r="AF106" s="20">
        <f t="shared" si="27"/>
        <v>4.9067377206539108E-2</v>
      </c>
      <c r="AH106" s="239">
        <v>0.2</v>
      </c>
      <c r="AI106" s="240">
        <v>4000</v>
      </c>
      <c r="AJ106" s="240">
        <f t="shared" si="28"/>
        <v>1552000</v>
      </c>
      <c r="AL106" s="17">
        <v>290556.19199999998</v>
      </c>
      <c r="AM106" s="17">
        <f t="shared" si="29"/>
        <v>-15479.647999999986</v>
      </c>
      <c r="AN106" s="20">
        <f t="shared" si="30"/>
        <v>-5.0581160690198863E-2</v>
      </c>
      <c r="AP106" s="17">
        <v>294824.19199999998</v>
      </c>
      <c r="AQ106" s="17">
        <f t="shared" si="31"/>
        <v>-11211.647999999986</v>
      </c>
      <c r="AR106" s="20">
        <f t="shared" si="32"/>
        <v>-3.6635081695006663E-2</v>
      </c>
    </row>
    <row r="107" spans="1:44" x14ac:dyDescent="0.3">
      <c r="A107" s="1">
        <f t="shared" si="22"/>
        <v>107</v>
      </c>
      <c r="B107" s="13" t="s">
        <v>17</v>
      </c>
      <c r="C107" s="13" t="s">
        <v>17</v>
      </c>
      <c r="D107" s="2" t="s">
        <v>39</v>
      </c>
      <c r="E107" s="14">
        <v>2844</v>
      </c>
      <c r="F107" s="14">
        <v>1649520</v>
      </c>
      <c r="H107" s="19">
        <v>249472.91071999999</v>
      </c>
      <c r="I107" s="19"/>
      <c r="J107" s="185">
        <v>0.2</v>
      </c>
      <c r="K107" s="242">
        <v>2844</v>
      </c>
      <c r="L107" s="14">
        <f t="shared" si="33"/>
        <v>1319616</v>
      </c>
      <c r="M107" s="19"/>
      <c r="N107" s="16">
        <v>277820.80266079999</v>
      </c>
      <c r="O107" s="17">
        <f t="shared" si="34"/>
        <v>28347.891940800007</v>
      </c>
      <c r="P107" s="18">
        <f t="shared" si="35"/>
        <v>0.11363114279215962</v>
      </c>
      <c r="Q107" s="19"/>
      <c r="R107" s="16">
        <v>282311.62086080003</v>
      </c>
      <c r="S107" s="17">
        <f t="shared" si="23"/>
        <v>32838.710140800045</v>
      </c>
      <c r="T107" s="20">
        <f t="shared" si="36"/>
        <v>0.13163236860477051</v>
      </c>
      <c r="V107" s="239">
        <v>0.2</v>
      </c>
      <c r="W107" s="240">
        <v>2844</v>
      </c>
      <c r="X107" s="240">
        <f t="shared" si="37"/>
        <v>1319616</v>
      </c>
      <c r="Z107" s="17">
        <v>258158.293328</v>
      </c>
      <c r="AA107" s="17">
        <f t="shared" si="24"/>
        <v>8685.3826080000144</v>
      </c>
      <c r="AB107" s="20">
        <f t="shared" si="25"/>
        <v>3.4814932743331785E-2</v>
      </c>
      <c r="AD107" s="17">
        <v>262240.85532800003</v>
      </c>
      <c r="AE107" s="17">
        <f t="shared" si="26"/>
        <v>12767.944608000049</v>
      </c>
      <c r="AF107" s="20">
        <f t="shared" si="27"/>
        <v>5.1179683482068965E-2</v>
      </c>
      <c r="AH107" s="239">
        <v>0.2</v>
      </c>
      <c r="AI107" s="240">
        <v>2844</v>
      </c>
      <c r="AJ107" s="240">
        <f t="shared" si="28"/>
        <v>1319616</v>
      </c>
      <c r="AL107" s="17">
        <v>236311.06073600001</v>
      </c>
      <c r="AM107" s="17">
        <f t="shared" si="29"/>
        <v>-13161.849983999971</v>
      </c>
      <c r="AN107" s="20">
        <f t="shared" si="30"/>
        <v>-5.275863397758801E-2</v>
      </c>
      <c r="AP107" s="17">
        <v>239940.004736</v>
      </c>
      <c r="AQ107" s="17">
        <f t="shared" si="31"/>
        <v>-9532.9059839999827</v>
      </c>
      <c r="AR107" s="20">
        <f t="shared" si="32"/>
        <v>-3.8212188876488459E-2</v>
      </c>
    </row>
    <row r="108" spans="1:44" x14ac:dyDescent="0.3">
      <c r="H108" s="19"/>
      <c r="I108" s="19"/>
      <c r="J108" s="19"/>
      <c r="K108" s="19"/>
      <c r="L108" s="19"/>
      <c r="M108" s="19"/>
      <c r="N108" s="19"/>
      <c r="O108" s="18"/>
      <c r="Q108" s="19"/>
      <c r="R108" s="19"/>
      <c r="S108" s="18"/>
      <c r="T108" s="20"/>
    </row>
    <row r="109" spans="1:44" x14ac:dyDescent="0.3">
      <c r="H109" s="21"/>
      <c r="I109" s="21"/>
      <c r="J109" s="21"/>
      <c r="K109" s="21"/>
      <c r="L109" s="21"/>
      <c r="M109" s="21"/>
      <c r="N109" s="21"/>
      <c r="O109" s="243"/>
      <c r="Q109" s="21"/>
      <c r="R109" s="21"/>
      <c r="S109" s="243"/>
    </row>
    <row r="110" spans="1:44" x14ac:dyDescent="0.3">
      <c r="H110" s="21"/>
      <c r="I110" s="21"/>
      <c r="J110" s="21"/>
      <c r="K110" s="21"/>
      <c r="L110" s="21"/>
      <c r="M110" s="21"/>
      <c r="N110" s="21"/>
      <c r="O110" s="243"/>
      <c r="Q110" s="21"/>
      <c r="R110" s="21"/>
      <c r="S110" s="243"/>
    </row>
    <row r="111" spans="1:44" x14ac:dyDescent="0.3">
      <c r="H111" s="21"/>
      <c r="I111" s="21"/>
      <c r="J111" s="21"/>
      <c r="K111" s="21"/>
      <c r="L111" s="21"/>
      <c r="M111" s="21"/>
      <c r="N111" s="21"/>
      <c r="O111" s="243"/>
      <c r="Q111" s="21"/>
      <c r="R111" s="21"/>
      <c r="S111" s="243"/>
    </row>
    <row r="112" spans="1:44" x14ac:dyDescent="0.3">
      <c r="H112" s="21"/>
      <c r="I112" s="21"/>
      <c r="J112" s="21"/>
      <c r="K112" s="21"/>
      <c r="L112" s="21"/>
      <c r="M112" s="21"/>
      <c r="N112" s="21"/>
      <c r="O112" s="243"/>
      <c r="Q112" s="21"/>
      <c r="R112" s="21"/>
      <c r="S112" s="243"/>
    </row>
    <row r="113" spans="8:19" x14ac:dyDescent="0.3">
      <c r="H113" s="21"/>
      <c r="I113" s="21"/>
      <c r="J113" s="21"/>
      <c r="K113" s="21"/>
      <c r="L113" s="21"/>
      <c r="M113" s="21"/>
      <c r="N113" s="21"/>
      <c r="O113" s="243"/>
      <c r="Q113" s="21"/>
      <c r="R113" s="21"/>
      <c r="S113" s="243"/>
    </row>
    <row r="114" spans="8:19" x14ac:dyDescent="0.3">
      <c r="H114" s="21"/>
      <c r="I114" s="21"/>
      <c r="J114" s="21"/>
      <c r="K114" s="21"/>
      <c r="L114" s="21"/>
      <c r="M114" s="21"/>
      <c r="N114" s="21"/>
      <c r="O114" s="243"/>
      <c r="Q114" s="21"/>
      <c r="R114" s="21"/>
      <c r="S114" s="243"/>
    </row>
    <row r="115" spans="8:19" x14ac:dyDescent="0.3">
      <c r="H115" s="21"/>
      <c r="I115" s="21"/>
      <c r="J115" s="21"/>
      <c r="K115" s="21"/>
      <c r="L115" s="21"/>
      <c r="M115" s="21"/>
      <c r="N115" s="21"/>
      <c r="O115" s="243"/>
      <c r="Q115" s="21"/>
      <c r="R115" s="21"/>
      <c r="S115" s="243"/>
    </row>
    <row r="116" spans="8:19" x14ac:dyDescent="0.3">
      <c r="H116" s="21"/>
      <c r="I116" s="21"/>
      <c r="J116" s="21"/>
      <c r="K116" s="21"/>
      <c r="L116" s="21"/>
      <c r="M116" s="21"/>
      <c r="N116" s="21"/>
      <c r="O116" s="243"/>
      <c r="Q116" s="21"/>
      <c r="R116" s="21"/>
      <c r="S116" s="243"/>
    </row>
    <row r="117" spans="8:19" x14ac:dyDescent="0.3">
      <c r="H117" s="21"/>
      <c r="I117" s="21"/>
      <c r="J117" s="21"/>
      <c r="K117" s="21"/>
      <c r="L117" s="21"/>
      <c r="M117" s="21"/>
      <c r="N117" s="21"/>
      <c r="O117" s="243"/>
      <c r="Q117" s="21"/>
      <c r="R117" s="21"/>
      <c r="S117" s="243"/>
    </row>
    <row r="118" spans="8:19" x14ac:dyDescent="0.3">
      <c r="H118" s="21"/>
      <c r="I118" s="21"/>
      <c r="J118" s="21"/>
      <c r="K118" s="21"/>
      <c r="L118" s="21"/>
      <c r="M118" s="21"/>
      <c r="N118" s="21"/>
      <c r="O118" s="243"/>
      <c r="Q118" s="21"/>
      <c r="R118" s="21"/>
      <c r="S118" s="243"/>
    </row>
    <row r="119" spans="8:19" x14ac:dyDescent="0.3">
      <c r="H119" s="21"/>
      <c r="I119" s="21"/>
      <c r="J119" s="21"/>
      <c r="K119" s="21"/>
      <c r="L119" s="21"/>
      <c r="M119" s="21"/>
      <c r="N119" s="21"/>
      <c r="O119" s="243"/>
      <c r="Q119" s="21"/>
      <c r="R119" s="21"/>
      <c r="S119" s="243"/>
    </row>
    <row r="120" spans="8:19" x14ac:dyDescent="0.3">
      <c r="H120" s="21"/>
      <c r="I120" s="21"/>
      <c r="J120" s="21"/>
      <c r="K120" s="21"/>
      <c r="L120" s="21"/>
      <c r="M120" s="21"/>
      <c r="N120" s="21"/>
      <c r="O120" s="243"/>
      <c r="Q120" s="21"/>
      <c r="R120" s="21"/>
      <c r="S120" s="243"/>
    </row>
    <row r="121" spans="8:19" x14ac:dyDescent="0.3">
      <c r="H121" s="21"/>
      <c r="I121" s="21"/>
      <c r="J121" s="21"/>
      <c r="K121" s="21"/>
      <c r="L121" s="21"/>
      <c r="M121" s="21"/>
      <c r="N121" s="21"/>
      <c r="O121" s="243"/>
      <c r="Q121" s="21"/>
      <c r="R121" s="21"/>
      <c r="S121" s="243"/>
    </row>
    <row r="122" spans="8:19" x14ac:dyDescent="0.3">
      <c r="H122" s="21"/>
      <c r="I122" s="21"/>
      <c r="J122" s="21"/>
      <c r="K122" s="21"/>
      <c r="L122" s="21"/>
      <c r="M122" s="21"/>
      <c r="N122" s="21"/>
      <c r="O122" s="243"/>
      <c r="Q122" s="21"/>
      <c r="R122" s="21"/>
      <c r="S122" s="243"/>
    </row>
  </sheetData>
  <mergeCells count="18">
    <mergeCell ref="AP9:AR9"/>
    <mergeCell ref="E11:F11"/>
    <mergeCell ref="O11:P11"/>
    <mergeCell ref="S11:T11"/>
    <mergeCell ref="AA11:AB11"/>
    <mergeCell ref="AE11:AF11"/>
    <mergeCell ref="AM11:AN11"/>
    <mergeCell ref="AQ11:AR11"/>
    <mergeCell ref="E8:H8"/>
    <mergeCell ref="J8:T8"/>
    <mergeCell ref="V8:AF8"/>
    <mergeCell ref="AH8:AR8"/>
    <mergeCell ref="E9:H9"/>
    <mergeCell ref="N9:P9"/>
    <mergeCell ref="R9:T9"/>
    <mergeCell ref="Z9:AB9"/>
    <mergeCell ref="AD9:AF9"/>
    <mergeCell ref="AL9:AN9"/>
  </mergeCells>
  <pageMargins left="0.7" right="0.7" top="0.75" bottom="0.75" header="0.3" footer="0.3"/>
  <pageSetup scale="33" fitToWidth="2" orientation="portrait" r:id="rId1"/>
  <headerFooter>
    <oddHeader>&amp;R&amp;"Times New Roman,Regular"NSTAR Electric Company 
d/b/a Eversource Energy
D.P.U. 24-149
Exhibit Eversource Energy-6 (Revised)
Page &amp;P of &amp;N</oddHeader>
  </headerFooter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EBB7-8FEA-4FE5-89C2-87BC593B72ED}">
  <sheetPr>
    <tabColor theme="3" tint="0.59999389629810485"/>
    <pageSetUpPr fitToPage="1"/>
  </sheetPr>
  <dimension ref="A1:AA62"/>
  <sheetViews>
    <sheetView zoomScaleNormal="100" workbookViewId="0"/>
  </sheetViews>
  <sheetFormatPr defaultColWidth="8.7265625" defaultRowHeight="13" x14ac:dyDescent="0.3"/>
  <cols>
    <col min="1" max="1" width="4" style="58" bestFit="1" customWidth="1"/>
    <col min="2" max="2" width="5.54296875" style="58" bestFit="1" customWidth="1"/>
    <col min="3" max="6" width="12" style="58" customWidth="1"/>
    <col min="7" max="7" width="2" style="58" customWidth="1"/>
    <col min="8" max="10" width="12" style="58" customWidth="1"/>
    <col min="11" max="11" width="2" style="58" customWidth="1"/>
    <col min="12" max="13" width="12" style="58" customWidth="1"/>
    <col min="14" max="14" width="2" style="58" customWidth="1"/>
    <col min="15" max="17" width="12" style="58" customWidth="1"/>
    <col min="18" max="18" width="2" style="58" customWidth="1"/>
    <col min="19" max="20" width="12" style="58" customWidth="1"/>
    <col min="21" max="21" width="2" style="58" customWidth="1"/>
    <col min="22" max="24" width="12" style="58" customWidth="1"/>
    <col min="25" max="25" width="2" style="58" customWidth="1"/>
    <col min="26" max="27" width="12" style="58" customWidth="1"/>
    <col min="28" max="16384" width="8.7265625" style="58"/>
  </cols>
  <sheetData>
    <row r="1" spans="1:27" x14ac:dyDescent="0.3">
      <c r="A1" s="57">
        <v>1</v>
      </c>
    </row>
    <row r="2" spans="1:27" x14ac:dyDescent="0.3">
      <c r="A2" s="57">
        <f>A1+1</f>
        <v>2</v>
      </c>
    </row>
    <row r="3" spans="1:27" ht="14" x14ac:dyDescent="0.3">
      <c r="A3" s="57">
        <f t="shared" ref="A3:A58" si="0">A2+1</f>
        <v>3</v>
      </c>
      <c r="B3" s="24" t="s">
        <v>40</v>
      </c>
    </row>
    <row r="4" spans="1:27" ht="14" x14ac:dyDescent="0.3">
      <c r="A4" s="57">
        <f t="shared" si="0"/>
        <v>4</v>
      </c>
      <c r="B4" s="24" t="s">
        <v>41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</row>
    <row r="5" spans="1:27" ht="14" x14ac:dyDescent="0.3">
      <c r="A5" s="57">
        <f t="shared" si="0"/>
        <v>5</v>
      </c>
      <c r="B5" s="2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</row>
    <row r="6" spans="1:27" ht="14" x14ac:dyDescent="0.3">
      <c r="A6" s="57">
        <f t="shared" si="0"/>
        <v>6</v>
      </c>
      <c r="B6" s="24" t="s">
        <v>116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</row>
    <row r="7" spans="1:27" ht="14" x14ac:dyDescent="0.3">
      <c r="A7" s="57">
        <f t="shared" si="0"/>
        <v>7</v>
      </c>
      <c r="B7" s="57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2"/>
    </row>
    <row r="8" spans="1:27" ht="14" x14ac:dyDescent="0.3">
      <c r="A8" s="57">
        <f t="shared" si="0"/>
        <v>8</v>
      </c>
      <c r="B8" s="27"/>
      <c r="C8" s="28"/>
      <c r="D8" s="28"/>
      <c r="E8" s="28"/>
      <c r="F8" s="29"/>
      <c r="G8" s="28"/>
    </row>
    <row r="9" spans="1:27" ht="14" x14ac:dyDescent="0.3">
      <c r="A9" s="57">
        <f t="shared" si="0"/>
        <v>9</v>
      </c>
      <c r="B9" s="27"/>
      <c r="C9" s="28"/>
      <c r="D9" s="28"/>
      <c r="E9" s="28"/>
      <c r="F9" s="30"/>
      <c r="G9" s="28"/>
    </row>
    <row r="10" spans="1:27" ht="14" x14ac:dyDescent="0.3">
      <c r="A10" s="57">
        <f t="shared" si="0"/>
        <v>10</v>
      </c>
      <c r="B10" s="31"/>
      <c r="C10" s="27" t="s">
        <v>2</v>
      </c>
      <c r="D10" s="32" t="str">
        <f>'EMA R1'!D10</f>
        <v>2024 Monthly Bill</v>
      </c>
      <c r="E10" s="32"/>
      <c r="F10" s="32"/>
      <c r="G10" s="33"/>
      <c r="H10" s="32" t="str">
        <f>'EMA R1'!H10</f>
        <v>2025 Illustrative Monthly Bill</v>
      </c>
      <c r="I10" s="32"/>
      <c r="J10" s="32"/>
      <c r="K10" s="23"/>
      <c r="L10" s="32" t="str">
        <f>'EMA R1'!L10</f>
        <v>2025 vs. 2024</v>
      </c>
      <c r="M10" s="32"/>
      <c r="N10" s="27"/>
      <c r="O10" s="32" t="str">
        <f>'EMA R1'!O10</f>
        <v>2026 Illustrative Monthly Bill</v>
      </c>
      <c r="P10" s="32"/>
      <c r="Q10" s="32"/>
      <c r="R10" s="33"/>
      <c r="S10" s="32" t="str">
        <f>'EMA R1'!S10</f>
        <v>2026 vs. 2025</v>
      </c>
      <c r="T10" s="32"/>
      <c r="U10" s="23"/>
      <c r="V10" s="32" t="str">
        <f>'EMA R1'!V10</f>
        <v>2027 Illustrative Monthly Bill</v>
      </c>
      <c r="W10" s="32"/>
      <c r="X10" s="32"/>
      <c r="Y10" s="33"/>
      <c r="Z10" s="32" t="str">
        <f>'EMA R1'!Z10</f>
        <v>2027 vs. 2026</v>
      </c>
      <c r="AA10" s="32"/>
    </row>
    <row r="11" spans="1:27" ht="14" x14ac:dyDescent="0.3">
      <c r="A11" s="57">
        <f t="shared" si="0"/>
        <v>11</v>
      </c>
      <c r="B11" s="31"/>
      <c r="C11" s="34" t="s">
        <v>47</v>
      </c>
      <c r="D11" s="34" t="s">
        <v>48</v>
      </c>
      <c r="E11" s="34" t="s">
        <v>49</v>
      </c>
      <c r="F11" s="34" t="s">
        <v>50</v>
      </c>
      <c r="G11" s="34"/>
      <c r="H11" s="34" t="s">
        <v>48</v>
      </c>
      <c r="I11" s="34" t="s">
        <v>49</v>
      </c>
      <c r="J11" s="34" t="s">
        <v>50</v>
      </c>
      <c r="K11" s="23"/>
      <c r="L11" s="34" t="s">
        <v>51</v>
      </c>
      <c r="M11" s="34" t="s">
        <v>14</v>
      </c>
      <c r="N11" s="34"/>
      <c r="O11" s="34" t="s">
        <v>48</v>
      </c>
      <c r="P11" s="34" t="s">
        <v>49</v>
      </c>
      <c r="Q11" s="34" t="s">
        <v>50</v>
      </c>
      <c r="R11" s="34"/>
      <c r="S11" s="34" t="s">
        <v>51</v>
      </c>
      <c r="T11" s="34" t="s">
        <v>14</v>
      </c>
      <c r="U11" s="23"/>
      <c r="V11" s="34" t="s">
        <v>48</v>
      </c>
      <c r="W11" s="34" t="s">
        <v>49</v>
      </c>
      <c r="X11" s="34" t="s">
        <v>50</v>
      </c>
      <c r="Y11" s="34"/>
      <c r="Z11" s="34" t="s">
        <v>51</v>
      </c>
      <c r="AA11" s="34" t="s">
        <v>14</v>
      </c>
    </row>
    <row r="12" spans="1:27" ht="14" x14ac:dyDescent="0.3">
      <c r="A12" s="57">
        <f t="shared" si="0"/>
        <v>12</v>
      </c>
      <c r="B12" s="31"/>
      <c r="C12" s="35">
        <v>100</v>
      </c>
      <c r="D12" s="36">
        <f>ROUND(($C12*SUM($H$31:$H$56)+$H$30)*(1-$H$58),2)</f>
        <v>15.99</v>
      </c>
      <c r="E12" s="36">
        <f>ROUND(($H$57*C12)*(1-$H$58),2)</f>
        <v>9.15</v>
      </c>
      <c r="F12" s="36">
        <f>SUM(D12:E12)</f>
        <v>25.14</v>
      </c>
      <c r="G12" s="36"/>
      <c r="H12" s="36">
        <f>ROUND(($C12*SUM($I$31:$I$56)+$I$30)*(1-$I$58),2)</f>
        <v>16.48</v>
      </c>
      <c r="I12" s="36">
        <f>ROUND(($I$57*C12)*(1-$I$58),2)</f>
        <v>9.15</v>
      </c>
      <c r="J12" s="36">
        <f>SUM(H12:I12)</f>
        <v>25.630000000000003</v>
      </c>
      <c r="K12" s="37"/>
      <c r="L12" s="36">
        <f>+J12-F12</f>
        <v>0.49000000000000199</v>
      </c>
      <c r="M12" s="38">
        <f>+L12/F12</f>
        <v>1.9490851233094748E-2</v>
      </c>
      <c r="N12" s="38"/>
      <c r="O12" s="36">
        <f>ROUND(($C12*SUM($J$31:$J$56)+$J$30)*(1-$J$58),2)</f>
        <v>16.62</v>
      </c>
      <c r="P12" s="36">
        <f>ROUND(($J$57*C12)*(1-$J$58),2)</f>
        <v>9.15</v>
      </c>
      <c r="Q12" s="36">
        <f>SUM(O12:P12)</f>
        <v>25.770000000000003</v>
      </c>
      <c r="R12" s="36"/>
      <c r="S12" s="36">
        <f>+Q12-J12</f>
        <v>0.14000000000000057</v>
      </c>
      <c r="T12" s="38">
        <f>+S12/J12</f>
        <v>5.4623488099883166E-3</v>
      </c>
      <c r="U12" s="23"/>
      <c r="V12" s="36">
        <f>ROUND(($C12*SUM($L$31:$L$56)+$L$30)*(1-$L$58),2)</f>
        <v>16.88</v>
      </c>
      <c r="W12" s="36">
        <f>ROUND(($L$57*C12)*(1-$L$58),2)</f>
        <v>9.15</v>
      </c>
      <c r="X12" s="36">
        <f>SUM(V12:W12)</f>
        <v>26.03</v>
      </c>
      <c r="Y12" s="36"/>
      <c r="Z12" s="36">
        <f>X12-Q12</f>
        <v>0.25999999999999801</v>
      </c>
      <c r="AA12" s="38">
        <f>+Z12/Q12</f>
        <v>1.0089251067132246E-2</v>
      </c>
    </row>
    <row r="13" spans="1:27" ht="14" x14ac:dyDescent="0.3">
      <c r="A13" s="57">
        <f t="shared" si="0"/>
        <v>13</v>
      </c>
      <c r="B13" s="31"/>
      <c r="C13" s="35">
        <v>200</v>
      </c>
      <c r="D13" s="36">
        <f t="shared" ref="D13:D25" si="1">ROUND(($C13*SUM($H$31:$H$56)+$H$30)*(1-$H$58),2)</f>
        <v>26.17</v>
      </c>
      <c r="E13" s="36">
        <f t="shared" ref="E13:E25" si="2">ROUND(($H$57*C13)*(1-$H$58),2)</f>
        <v>18.3</v>
      </c>
      <c r="F13" s="36">
        <f t="shared" ref="F13:F25" si="3">SUM(D13:E13)</f>
        <v>44.47</v>
      </c>
      <c r="G13" s="36"/>
      <c r="H13" s="36">
        <f t="shared" ref="H13:H25" si="4">ROUND(($C13*SUM($I$31:$I$56)+$I$30)*(1-$I$58),2)</f>
        <v>27.17</v>
      </c>
      <c r="I13" s="36">
        <f t="shared" ref="I13:I25" si="5">ROUND(($I$57*C13)*(1-$I$58),2)</f>
        <v>18.3</v>
      </c>
      <c r="J13" s="36">
        <f t="shared" ref="J13:J25" si="6">SUM(H13:I13)</f>
        <v>45.47</v>
      </c>
      <c r="K13" s="37"/>
      <c r="L13" s="36">
        <f>+J13-F13</f>
        <v>1</v>
      </c>
      <c r="M13" s="38">
        <f t="shared" ref="M13:M25" si="7">+L13/F13</f>
        <v>2.2487069934787499E-2</v>
      </c>
      <c r="N13" s="38"/>
      <c r="O13" s="36">
        <f t="shared" ref="O13:O25" si="8">ROUND(($C13*SUM($J$31:$J$56)+$J$30)*(1-$J$58),2)</f>
        <v>27.43</v>
      </c>
      <c r="P13" s="36">
        <f t="shared" ref="P13:P25" si="9">ROUND(($J$57*C13)*(1-$J$58),2)</f>
        <v>18.3</v>
      </c>
      <c r="Q13" s="36">
        <f t="shared" ref="Q13:Q25" si="10">SUM(O13:P13)</f>
        <v>45.730000000000004</v>
      </c>
      <c r="R13" s="36"/>
      <c r="S13" s="36">
        <f t="shared" ref="S13:S25" si="11">+Q13-J13</f>
        <v>0.26000000000000512</v>
      </c>
      <c r="T13" s="38">
        <f>+S13/J13</f>
        <v>5.7180558610073701E-3</v>
      </c>
      <c r="U13" s="23"/>
      <c r="V13" s="36">
        <f t="shared" ref="V13:V25" si="12">ROUND(($C13*SUM($L$31:$L$56)+$L$30)*(1-$L$58),2)</f>
        <v>27.95</v>
      </c>
      <c r="W13" s="36">
        <f t="shared" ref="W13:W25" si="13">ROUND(($L$57*C13)*(1-$L$58),2)</f>
        <v>18.3</v>
      </c>
      <c r="X13" s="36">
        <f t="shared" ref="X13:X25" si="14">SUM(V13:W13)</f>
        <v>46.25</v>
      </c>
      <c r="Y13" s="36"/>
      <c r="Z13" s="36">
        <f t="shared" ref="Z13:Z25" si="15">X13-Q13</f>
        <v>0.51999999999999602</v>
      </c>
      <c r="AA13" s="38">
        <f t="shared" ref="AA13:AA25" si="16">+Z13/Q13</f>
        <v>1.1371091187404241E-2</v>
      </c>
    </row>
    <row r="14" spans="1:27" ht="14" x14ac:dyDescent="0.3">
      <c r="A14" s="57">
        <f t="shared" si="0"/>
        <v>14</v>
      </c>
      <c r="B14" s="31"/>
      <c r="C14" s="35">
        <v>300</v>
      </c>
      <c r="D14" s="36">
        <f t="shared" si="1"/>
        <v>36.36</v>
      </c>
      <c r="E14" s="36">
        <f>ROUND(($H$57*C14)*(1-$H$58),2)</f>
        <v>27.44</v>
      </c>
      <c r="F14" s="36">
        <f t="shared" si="3"/>
        <v>63.8</v>
      </c>
      <c r="G14" s="36"/>
      <c r="H14" s="36">
        <f>ROUND(($C14*SUM($I$31:$I$56)+$I$30)*(1-$I$58),2)</f>
        <v>37.85</v>
      </c>
      <c r="I14" s="36">
        <f t="shared" si="5"/>
        <v>27.44</v>
      </c>
      <c r="J14" s="36">
        <f t="shared" si="6"/>
        <v>65.290000000000006</v>
      </c>
      <c r="K14" s="37"/>
      <c r="L14" s="36">
        <f t="shared" ref="L14:L25" si="17">+J14-F14</f>
        <v>1.4900000000000091</v>
      </c>
      <c r="M14" s="38">
        <f t="shared" si="7"/>
        <v>2.3354231974921775E-2</v>
      </c>
      <c r="N14" s="38"/>
      <c r="O14" s="36">
        <f t="shared" si="8"/>
        <v>38.25</v>
      </c>
      <c r="P14" s="36">
        <f t="shared" si="9"/>
        <v>27.44</v>
      </c>
      <c r="Q14" s="36">
        <f t="shared" si="10"/>
        <v>65.69</v>
      </c>
      <c r="R14" s="36"/>
      <c r="S14" s="36">
        <f t="shared" si="11"/>
        <v>0.39999999999999147</v>
      </c>
      <c r="T14" s="38">
        <f t="shared" ref="T14:T25" si="18">+S14/J14</f>
        <v>6.1265124827690528E-3</v>
      </c>
      <c r="U14" s="23"/>
      <c r="V14" s="36">
        <f t="shared" si="12"/>
        <v>39.03</v>
      </c>
      <c r="W14" s="36">
        <f t="shared" si="13"/>
        <v>27.44</v>
      </c>
      <c r="X14" s="36">
        <f t="shared" si="14"/>
        <v>66.47</v>
      </c>
      <c r="Y14" s="36"/>
      <c r="Z14" s="36">
        <f t="shared" si="15"/>
        <v>0.78000000000000114</v>
      </c>
      <c r="AA14" s="38">
        <f t="shared" si="16"/>
        <v>1.187395341756738E-2</v>
      </c>
    </row>
    <row r="15" spans="1:27" ht="14" x14ac:dyDescent="0.3">
      <c r="A15" s="57">
        <f t="shared" si="0"/>
        <v>15</v>
      </c>
      <c r="B15" s="31"/>
      <c r="C15" s="35">
        <v>400</v>
      </c>
      <c r="D15" s="36">
        <f t="shared" si="1"/>
        <v>46.54</v>
      </c>
      <c r="E15" s="36">
        <f t="shared" si="2"/>
        <v>36.590000000000003</v>
      </c>
      <c r="F15" s="36">
        <f t="shared" si="3"/>
        <v>83.13</v>
      </c>
      <c r="G15" s="36"/>
      <c r="H15" s="36">
        <f>ROUND(($C15*SUM($I$31:$I$56)+$I$30)*(1-$I$58),2)</f>
        <v>48.53</v>
      </c>
      <c r="I15" s="36">
        <f t="shared" si="5"/>
        <v>36.590000000000003</v>
      </c>
      <c r="J15" s="36">
        <f t="shared" si="6"/>
        <v>85.12</v>
      </c>
      <c r="K15" s="37"/>
      <c r="L15" s="36">
        <f t="shared" si="17"/>
        <v>1.9900000000000091</v>
      </c>
      <c r="M15" s="38">
        <f t="shared" si="7"/>
        <v>2.3938409719716218E-2</v>
      </c>
      <c r="N15" s="38"/>
      <c r="O15" s="36">
        <f>ROUND(($C15*SUM($J$31:$J$56)+$J$30)*(1-$J$58),2)</f>
        <v>49.07</v>
      </c>
      <c r="P15" s="36">
        <f t="shared" si="9"/>
        <v>36.590000000000003</v>
      </c>
      <c r="Q15" s="36">
        <f t="shared" si="10"/>
        <v>85.66</v>
      </c>
      <c r="R15" s="36"/>
      <c r="S15" s="36">
        <f t="shared" si="11"/>
        <v>0.53999999999999204</v>
      </c>
      <c r="T15" s="38">
        <f t="shared" si="18"/>
        <v>6.343984962405921E-3</v>
      </c>
      <c r="U15" s="23"/>
      <c r="V15" s="36">
        <f>ROUND(($C15*SUM($L$31:$L$56)+$L$30)*(1-$L$58),2)</f>
        <v>50.11</v>
      </c>
      <c r="W15" s="36">
        <f t="shared" si="13"/>
        <v>36.590000000000003</v>
      </c>
      <c r="X15" s="36">
        <f t="shared" si="14"/>
        <v>86.7</v>
      </c>
      <c r="Y15" s="36"/>
      <c r="Z15" s="36">
        <f t="shared" si="15"/>
        <v>1.0400000000000063</v>
      </c>
      <c r="AA15" s="38">
        <f t="shared" si="16"/>
        <v>1.2141022647676936E-2</v>
      </c>
    </row>
    <row r="16" spans="1:27" ht="14" x14ac:dyDescent="0.3">
      <c r="A16" s="57">
        <f t="shared" si="0"/>
        <v>16</v>
      </c>
      <c r="B16" s="31"/>
      <c r="C16" s="35">
        <v>500</v>
      </c>
      <c r="D16" s="36">
        <f t="shared" si="1"/>
        <v>56.73</v>
      </c>
      <c r="E16" s="36">
        <f t="shared" si="2"/>
        <v>45.74</v>
      </c>
      <c r="F16" s="36">
        <f t="shared" si="3"/>
        <v>102.47</v>
      </c>
      <c r="G16" s="36"/>
      <c r="H16" s="36">
        <f t="shared" si="4"/>
        <v>59.22</v>
      </c>
      <c r="I16" s="36">
        <f t="shared" si="5"/>
        <v>45.74</v>
      </c>
      <c r="J16" s="36">
        <f t="shared" si="6"/>
        <v>104.96000000000001</v>
      </c>
      <c r="K16" s="37"/>
      <c r="L16" s="36">
        <f t="shared" si="17"/>
        <v>2.4900000000000091</v>
      </c>
      <c r="M16" s="38">
        <f t="shared" si="7"/>
        <v>2.4299795061969446E-2</v>
      </c>
      <c r="N16" s="38"/>
      <c r="O16" s="36">
        <f t="shared" si="8"/>
        <v>59.89</v>
      </c>
      <c r="P16" s="36">
        <f t="shared" si="9"/>
        <v>45.74</v>
      </c>
      <c r="Q16" s="36">
        <f t="shared" si="10"/>
        <v>105.63</v>
      </c>
      <c r="R16" s="36"/>
      <c r="S16" s="36">
        <f t="shared" si="11"/>
        <v>0.66999999999998749</v>
      </c>
      <c r="T16" s="38">
        <f t="shared" si="18"/>
        <v>6.3833841463413442E-3</v>
      </c>
      <c r="U16" s="23"/>
      <c r="V16" s="36">
        <f t="shared" si="12"/>
        <v>61.18</v>
      </c>
      <c r="W16" s="36">
        <f t="shared" si="13"/>
        <v>45.74</v>
      </c>
      <c r="X16" s="36">
        <f t="shared" si="14"/>
        <v>106.92</v>
      </c>
      <c r="Y16" s="36"/>
      <c r="Z16" s="36">
        <f t="shared" si="15"/>
        <v>1.2900000000000063</v>
      </c>
      <c r="AA16" s="38">
        <f t="shared" si="16"/>
        <v>1.2212439647827382E-2</v>
      </c>
    </row>
    <row r="17" spans="1:27" ht="14" x14ac:dyDescent="0.3">
      <c r="A17" s="57">
        <f t="shared" si="0"/>
        <v>17</v>
      </c>
      <c r="B17" s="31"/>
      <c r="C17" s="35">
        <v>600</v>
      </c>
      <c r="D17" s="36">
        <f t="shared" si="1"/>
        <v>66.92</v>
      </c>
      <c r="E17" s="36">
        <f t="shared" si="2"/>
        <v>54.89</v>
      </c>
      <c r="F17" s="36">
        <f t="shared" si="3"/>
        <v>121.81</v>
      </c>
      <c r="G17" s="36"/>
      <c r="H17" s="36">
        <f t="shared" si="4"/>
        <v>69.900000000000006</v>
      </c>
      <c r="I17" s="36">
        <f t="shared" si="5"/>
        <v>54.89</v>
      </c>
      <c r="J17" s="36">
        <f t="shared" si="6"/>
        <v>124.79</v>
      </c>
      <c r="K17" s="37"/>
      <c r="L17" s="36">
        <f t="shared" si="17"/>
        <v>2.980000000000004</v>
      </c>
      <c r="M17" s="38">
        <f t="shared" si="7"/>
        <v>2.4464329693785435E-2</v>
      </c>
      <c r="N17" s="38"/>
      <c r="O17" s="36">
        <f t="shared" si="8"/>
        <v>70.7</v>
      </c>
      <c r="P17" s="36">
        <f t="shared" si="9"/>
        <v>54.89</v>
      </c>
      <c r="Q17" s="36">
        <f>SUM(O17:P17)</f>
        <v>125.59</v>
      </c>
      <c r="R17" s="36"/>
      <c r="S17" s="36">
        <f t="shared" si="11"/>
        <v>0.79999999999999716</v>
      </c>
      <c r="T17" s="38">
        <f t="shared" si="18"/>
        <v>6.4107700937574893E-3</v>
      </c>
      <c r="U17" s="23"/>
      <c r="V17" s="36">
        <f t="shared" si="12"/>
        <v>72.260000000000005</v>
      </c>
      <c r="W17" s="36">
        <f t="shared" si="13"/>
        <v>54.89</v>
      </c>
      <c r="X17" s="36">
        <f t="shared" si="14"/>
        <v>127.15</v>
      </c>
      <c r="Y17" s="36"/>
      <c r="Z17" s="36">
        <f t="shared" si="15"/>
        <v>1.5600000000000023</v>
      </c>
      <c r="AA17" s="38">
        <f t="shared" si="16"/>
        <v>1.2421371128274562E-2</v>
      </c>
    </row>
    <row r="18" spans="1:27" ht="14" x14ac:dyDescent="0.3">
      <c r="A18" s="57">
        <f t="shared" si="0"/>
        <v>18</v>
      </c>
      <c r="B18" s="31"/>
      <c r="C18" s="35">
        <v>700</v>
      </c>
      <c r="D18" s="36">
        <f t="shared" si="1"/>
        <v>77.099999999999994</v>
      </c>
      <c r="E18" s="36">
        <f t="shared" si="2"/>
        <v>64.03</v>
      </c>
      <c r="F18" s="36">
        <f t="shared" si="3"/>
        <v>141.13</v>
      </c>
      <c r="G18" s="36"/>
      <c r="H18" s="36">
        <f t="shared" si="4"/>
        <v>80.58</v>
      </c>
      <c r="I18" s="36">
        <f>ROUND(($I$57*C18)*(1-$I$58),2)</f>
        <v>64.03</v>
      </c>
      <c r="J18" s="36">
        <f t="shared" si="6"/>
        <v>144.61000000000001</v>
      </c>
      <c r="K18" s="37"/>
      <c r="L18" s="36">
        <f t="shared" si="17"/>
        <v>3.4800000000000182</v>
      </c>
      <c r="M18" s="38">
        <f t="shared" si="7"/>
        <v>2.4658116630057524E-2</v>
      </c>
      <c r="N18" s="38"/>
      <c r="O18" s="36">
        <f t="shared" si="8"/>
        <v>81.52</v>
      </c>
      <c r="P18" s="36">
        <f t="shared" si="9"/>
        <v>64.03</v>
      </c>
      <c r="Q18" s="36">
        <f t="shared" si="10"/>
        <v>145.55000000000001</v>
      </c>
      <c r="R18" s="36"/>
      <c r="S18" s="36">
        <f t="shared" si="11"/>
        <v>0.93999999999999773</v>
      </c>
      <c r="T18" s="38">
        <f t="shared" si="18"/>
        <v>6.5002420302883454E-3</v>
      </c>
      <c r="U18" s="23"/>
      <c r="V18" s="36">
        <f t="shared" si="12"/>
        <v>83.34</v>
      </c>
      <c r="W18" s="36">
        <f t="shared" si="13"/>
        <v>64.03</v>
      </c>
      <c r="X18" s="36">
        <f t="shared" si="14"/>
        <v>147.37</v>
      </c>
      <c r="Y18" s="36"/>
      <c r="Z18" s="36">
        <f t="shared" si="15"/>
        <v>1.8199999999999932</v>
      </c>
      <c r="AA18" s="38">
        <f t="shared" si="16"/>
        <v>1.250429405702503E-2</v>
      </c>
    </row>
    <row r="19" spans="1:27" ht="14" x14ac:dyDescent="0.3">
      <c r="A19" s="57">
        <f t="shared" si="0"/>
        <v>19</v>
      </c>
      <c r="B19" s="31"/>
      <c r="C19" s="35">
        <v>800</v>
      </c>
      <c r="D19" s="36">
        <f t="shared" si="1"/>
        <v>87.29</v>
      </c>
      <c r="E19" s="36">
        <f t="shared" si="2"/>
        <v>73.180000000000007</v>
      </c>
      <c r="F19" s="36">
        <f t="shared" si="3"/>
        <v>160.47000000000003</v>
      </c>
      <c r="G19" s="36"/>
      <c r="H19" s="36">
        <f t="shared" si="4"/>
        <v>91.26</v>
      </c>
      <c r="I19" s="36">
        <f t="shared" si="5"/>
        <v>73.180000000000007</v>
      </c>
      <c r="J19" s="36">
        <f t="shared" si="6"/>
        <v>164.44</v>
      </c>
      <c r="K19" s="37"/>
      <c r="L19" s="36">
        <f t="shared" si="17"/>
        <v>3.9699999999999704</v>
      </c>
      <c r="M19" s="38">
        <f t="shared" si="7"/>
        <v>2.4739826758895557E-2</v>
      </c>
      <c r="N19" s="38"/>
      <c r="O19" s="36">
        <f t="shared" si="8"/>
        <v>92.34</v>
      </c>
      <c r="P19" s="36">
        <f t="shared" si="9"/>
        <v>73.180000000000007</v>
      </c>
      <c r="Q19" s="36">
        <f t="shared" si="10"/>
        <v>165.52</v>
      </c>
      <c r="R19" s="36"/>
      <c r="S19" s="36">
        <f>+Q19-J19</f>
        <v>1.0800000000000125</v>
      </c>
      <c r="T19" s="38">
        <f t="shared" si="18"/>
        <v>6.5677450741912701E-3</v>
      </c>
      <c r="U19" s="23"/>
      <c r="V19" s="36">
        <f t="shared" si="12"/>
        <v>94.41</v>
      </c>
      <c r="W19" s="36">
        <f>ROUND(($L$57*C19)*(1-$L$58),2)</f>
        <v>73.180000000000007</v>
      </c>
      <c r="X19" s="36">
        <f t="shared" si="14"/>
        <v>167.59</v>
      </c>
      <c r="Y19" s="36"/>
      <c r="Z19" s="36">
        <f t="shared" si="15"/>
        <v>2.0699999999999932</v>
      </c>
      <c r="AA19" s="38">
        <f t="shared" si="16"/>
        <v>1.2506041565973859E-2</v>
      </c>
    </row>
    <row r="20" spans="1:27" ht="14" x14ac:dyDescent="0.3">
      <c r="A20" s="57">
        <f t="shared" si="0"/>
        <v>20</v>
      </c>
      <c r="B20" s="31"/>
      <c r="C20" s="35">
        <v>900</v>
      </c>
      <c r="D20" s="36">
        <f t="shared" si="1"/>
        <v>97.47</v>
      </c>
      <c r="E20" s="36">
        <f t="shared" si="2"/>
        <v>82.33</v>
      </c>
      <c r="F20" s="36">
        <f t="shared" si="3"/>
        <v>179.8</v>
      </c>
      <c r="G20" s="36"/>
      <c r="H20" s="36">
        <f t="shared" si="4"/>
        <v>101.95</v>
      </c>
      <c r="I20" s="36">
        <f t="shared" si="5"/>
        <v>82.33</v>
      </c>
      <c r="J20" s="36">
        <f t="shared" si="6"/>
        <v>184.28</v>
      </c>
      <c r="K20" s="37"/>
      <c r="L20" s="36">
        <f t="shared" si="17"/>
        <v>4.4799999999999898</v>
      </c>
      <c r="M20" s="38">
        <f t="shared" si="7"/>
        <v>2.491657397107892E-2</v>
      </c>
      <c r="N20" s="38"/>
      <c r="O20" s="36">
        <f t="shared" si="8"/>
        <v>103.15</v>
      </c>
      <c r="P20" s="36">
        <f>ROUND(($J$57*C20)*(1-$J$58),2)</f>
        <v>82.33</v>
      </c>
      <c r="Q20" s="36">
        <f t="shared" si="10"/>
        <v>185.48000000000002</v>
      </c>
      <c r="R20" s="36"/>
      <c r="S20" s="36">
        <f t="shared" si="11"/>
        <v>1.2000000000000171</v>
      </c>
      <c r="T20" s="38">
        <f t="shared" si="18"/>
        <v>6.5118298241806875E-3</v>
      </c>
      <c r="U20" s="23"/>
      <c r="V20" s="36">
        <f t="shared" si="12"/>
        <v>105.49</v>
      </c>
      <c r="W20" s="36">
        <f t="shared" si="13"/>
        <v>82.33</v>
      </c>
      <c r="X20" s="36">
        <f t="shared" si="14"/>
        <v>187.82</v>
      </c>
      <c r="Y20" s="36"/>
      <c r="Z20" s="36">
        <f t="shared" si="15"/>
        <v>2.339999999999975</v>
      </c>
      <c r="AA20" s="38">
        <f t="shared" si="16"/>
        <v>1.2615915462583432E-2</v>
      </c>
    </row>
    <row r="21" spans="1:27" ht="14" x14ac:dyDescent="0.3">
      <c r="A21" s="57">
        <f t="shared" si="0"/>
        <v>21</v>
      </c>
      <c r="B21" s="31"/>
      <c r="C21" s="35">
        <v>1000</v>
      </c>
      <c r="D21" s="36">
        <f t="shared" si="1"/>
        <v>107.66</v>
      </c>
      <c r="E21" s="36">
        <f t="shared" si="2"/>
        <v>91.48</v>
      </c>
      <c r="F21" s="36">
        <f t="shared" si="3"/>
        <v>199.14</v>
      </c>
      <c r="G21" s="36"/>
      <c r="H21" s="36">
        <f t="shared" si="4"/>
        <v>112.63</v>
      </c>
      <c r="I21" s="36">
        <f t="shared" si="5"/>
        <v>91.48</v>
      </c>
      <c r="J21" s="36">
        <f t="shared" si="6"/>
        <v>204.11</v>
      </c>
      <c r="K21" s="37"/>
      <c r="L21" s="36">
        <f t="shared" si="17"/>
        <v>4.9700000000000273</v>
      </c>
      <c r="M21" s="38">
        <f t="shared" si="7"/>
        <v>2.49573164607815E-2</v>
      </c>
      <c r="N21" s="38"/>
      <c r="O21" s="36">
        <f t="shared" si="8"/>
        <v>113.97</v>
      </c>
      <c r="P21" s="36">
        <f t="shared" si="9"/>
        <v>91.48</v>
      </c>
      <c r="Q21" s="36">
        <f t="shared" si="10"/>
        <v>205.45</v>
      </c>
      <c r="R21" s="36"/>
      <c r="S21" s="36">
        <f t="shared" si="11"/>
        <v>1.339999999999975</v>
      </c>
      <c r="T21" s="38">
        <f t="shared" si="18"/>
        <v>6.5650874528439315E-3</v>
      </c>
      <c r="U21" s="23"/>
      <c r="V21" s="36">
        <f t="shared" si="12"/>
        <v>116.57</v>
      </c>
      <c r="W21" s="36">
        <f t="shared" si="13"/>
        <v>91.48</v>
      </c>
      <c r="X21" s="36">
        <f t="shared" si="14"/>
        <v>208.05</v>
      </c>
      <c r="Y21" s="36"/>
      <c r="Z21" s="36">
        <f t="shared" si="15"/>
        <v>2.6000000000000227</v>
      </c>
      <c r="AA21" s="38">
        <f t="shared" si="16"/>
        <v>1.2655147237770859E-2</v>
      </c>
    </row>
    <row r="22" spans="1:27" ht="14" x14ac:dyDescent="0.3">
      <c r="A22" s="57">
        <f t="shared" si="0"/>
        <v>22</v>
      </c>
      <c r="B22" s="31"/>
      <c r="C22" s="35">
        <v>1250</v>
      </c>
      <c r="D22" s="36">
        <f t="shared" si="1"/>
        <v>133.12</v>
      </c>
      <c r="E22" s="36">
        <f t="shared" si="2"/>
        <v>114.35</v>
      </c>
      <c r="F22" s="36">
        <f t="shared" si="3"/>
        <v>247.47</v>
      </c>
      <c r="G22" s="36"/>
      <c r="H22" s="36">
        <f t="shared" si="4"/>
        <v>139.34</v>
      </c>
      <c r="I22" s="36">
        <f t="shared" si="5"/>
        <v>114.35</v>
      </c>
      <c r="J22" s="36">
        <f t="shared" si="6"/>
        <v>253.69</v>
      </c>
      <c r="K22" s="37"/>
      <c r="L22" s="36">
        <f t="shared" si="17"/>
        <v>6.2199999999999989</v>
      </c>
      <c r="M22" s="38">
        <f t="shared" si="7"/>
        <v>2.513435972037014E-2</v>
      </c>
      <c r="N22" s="38"/>
      <c r="O22" s="36">
        <f t="shared" si="8"/>
        <v>141.01</v>
      </c>
      <c r="P22" s="36">
        <f t="shared" si="9"/>
        <v>114.35</v>
      </c>
      <c r="Q22" s="36">
        <f t="shared" si="10"/>
        <v>255.35999999999999</v>
      </c>
      <c r="R22" s="36"/>
      <c r="S22" s="36">
        <f t="shared" si="11"/>
        <v>1.6699999999999875</v>
      </c>
      <c r="T22" s="38">
        <f t="shared" si="18"/>
        <v>6.5828373211399248E-3</v>
      </c>
      <c r="U22" s="23"/>
      <c r="V22" s="36">
        <f t="shared" si="12"/>
        <v>144.26</v>
      </c>
      <c r="W22" s="36">
        <f t="shared" si="13"/>
        <v>114.35</v>
      </c>
      <c r="X22" s="36">
        <f t="shared" si="14"/>
        <v>258.61</v>
      </c>
      <c r="Y22" s="36"/>
      <c r="Z22" s="36">
        <f t="shared" si="15"/>
        <v>3.2500000000000284</v>
      </c>
      <c r="AA22" s="38">
        <f t="shared" si="16"/>
        <v>1.2727130325814648E-2</v>
      </c>
    </row>
    <row r="23" spans="1:27" ht="14" x14ac:dyDescent="0.3">
      <c r="A23" s="57">
        <f t="shared" si="0"/>
        <v>23</v>
      </c>
      <c r="B23" s="31"/>
      <c r="C23" s="35">
        <v>1500</v>
      </c>
      <c r="D23" s="36">
        <f t="shared" si="1"/>
        <v>158.59</v>
      </c>
      <c r="E23" s="36">
        <f t="shared" si="2"/>
        <v>137.22</v>
      </c>
      <c r="F23" s="36">
        <f t="shared" si="3"/>
        <v>295.81</v>
      </c>
      <c r="G23" s="36"/>
      <c r="H23" s="36">
        <f t="shared" si="4"/>
        <v>166.05</v>
      </c>
      <c r="I23" s="36">
        <f t="shared" si="5"/>
        <v>137.22</v>
      </c>
      <c r="J23" s="36">
        <f t="shared" si="6"/>
        <v>303.27</v>
      </c>
      <c r="K23" s="37"/>
      <c r="L23" s="36">
        <f t="shared" si="17"/>
        <v>7.4599999999999795</v>
      </c>
      <c r="M23" s="38">
        <f t="shared" si="7"/>
        <v>2.5218890504039686E-2</v>
      </c>
      <c r="N23" s="38"/>
      <c r="O23" s="36">
        <f t="shared" si="8"/>
        <v>168.06</v>
      </c>
      <c r="P23" s="36">
        <f t="shared" si="9"/>
        <v>137.22</v>
      </c>
      <c r="Q23" s="36">
        <f t="shared" si="10"/>
        <v>305.27999999999997</v>
      </c>
      <c r="R23" s="36"/>
      <c r="S23" s="36">
        <f t="shared" si="11"/>
        <v>2.0099999999999909</v>
      </c>
      <c r="T23" s="38">
        <f t="shared" si="18"/>
        <v>6.6277574438618758E-3</v>
      </c>
      <c r="U23" s="23"/>
      <c r="V23" s="36">
        <f t="shared" si="12"/>
        <v>171.95</v>
      </c>
      <c r="W23" s="36">
        <f t="shared" si="13"/>
        <v>137.22</v>
      </c>
      <c r="X23" s="36">
        <f t="shared" si="14"/>
        <v>309.16999999999996</v>
      </c>
      <c r="Y23" s="36"/>
      <c r="Z23" s="36">
        <f t="shared" si="15"/>
        <v>3.8899999999999864</v>
      </c>
      <c r="AA23" s="38">
        <f t="shared" si="16"/>
        <v>1.2742400419287168E-2</v>
      </c>
    </row>
    <row r="24" spans="1:27" ht="14" x14ac:dyDescent="0.3">
      <c r="A24" s="57">
        <f t="shared" si="0"/>
        <v>24</v>
      </c>
      <c r="B24" s="31"/>
      <c r="C24" s="35">
        <v>2000</v>
      </c>
      <c r="D24" s="36">
        <f t="shared" si="1"/>
        <v>209.52</v>
      </c>
      <c r="E24" s="36">
        <f t="shared" si="2"/>
        <v>182.96</v>
      </c>
      <c r="F24" s="36">
        <f t="shared" si="3"/>
        <v>392.48</v>
      </c>
      <c r="G24" s="36"/>
      <c r="H24" s="36">
        <f t="shared" si="4"/>
        <v>219.46</v>
      </c>
      <c r="I24" s="36">
        <f t="shared" si="5"/>
        <v>182.96</v>
      </c>
      <c r="J24" s="36">
        <f t="shared" si="6"/>
        <v>402.42</v>
      </c>
      <c r="K24" s="37"/>
      <c r="L24" s="36">
        <f t="shared" si="17"/>
        <v>9.9399999999999977</v>
      </c>
      <c r="M24" s="38">
        <f t="shared" si="7"/>
        <v>2.5326131267835297E-2</v>
      </c>
      <c r="N24" s="38"/>
      <c r="O24" s="36">
        <f t="shared" si="8"/>
        <v>222.14</v>
      </c>
      <c r="P24" s="36">
        <f t="shared" si="9"/>
        <v>182.96</v>
      </c>
      <c r="Q24" s="36">
        <f t="shared" si="10"/>
        <v>405.1</v>
      </c>
      <c r="R24" s="36"/>
      <c r="S24" s="36">
        <f t="shared" si="11"/>
        <v>2.6800000000000068</v>
      </c>
      <c r="T24" s="38">
        <f t="shared" si="18"/>
        <v>6.6597087619899775E-3</v>
      </c>
      <c r="U24" s="23"/>
      <c r="V24" s="36">
        <f t="shared" si="12"/>
        <v>227.34</v>
      </c>
      <c r="W24" s="36">
        <f t="shared" si="13"/>
        <v>182.96</v>
      </c>
      <c r="X24" s="36">
        <f t="shared" si="14"/>
        <v>410.3</v>
      </c>
      <c r="Y24" s="36"/>
      <c r="Z24" s="36">
        <f t="shared" si="15"/>
        <v>5.1999999999999886</v>
      </c>
      <c r="AA24" s="38">
        <f t="shared" si="16"/>
        <v>1.2836336706985901E-2</v>
      </c>
    </row>
    <row r="25" spans="1:27" ht="14" x14ac:dyDescent="0.3">
      <c r="A25" s="57">
        <f t="shared" si="0"/>
        <v>25</v>
      </c>
      <c r="B25" s="31" t="s">
        <v>52</v>
      </c>
      <c r="C25" s="35">
        <v>475</v>
      </c>
      <c r="D25" s="36">
        <f t="shared" si="1"/>
        <v>54.18</v>
      </c>
      <c r="E25" s="36">
        <f t="shared" si="2"/>
        <v>43.45</v>
      </c>
      <c r="F25" s="36">
        <f t="shared" si="3"/>
        <v>97.63</v>
      </c>
      <c r="G25" s="36"/>
      <c r="H25" s="36">
        <f t="shared" si="4"/>
        <v>56.54</v>
      </c>
      <c r="I25" s="36">
        <f t="shared" si="5"/>
        <v>43.45</v>
      </c>
      <c r="J25" s="36">
        <f t="shared" si="6"/>
        <v>99.990000000000009</v>
      </c>
      <c r="K25" s="37"/>
      <c r="L25" s="36">
        <f t="shared" si="17"/>
        <v>2.3600000000000136</v>
      </c>
      <c r="M25" s="38">
        <f t="shared" si="7"/>
        <v>2.4172897674895152E-2</v>
      </c>
      <c r="N25" s="38"/>
      <c r="O25" s="36">
        <f t="shared" si="8"/>
        <v>57.18</v>
      </c>
      <c r="P25" s="36">
        <f t="shared" si="9"/>
        <v>43.45</v>
      </c>
      <c r="Q25" s="36">
        <f t="shared" si="10"/>
        <v>100.63</v>
      </c>
      <c r="R25" s="36"/>
      <c r="S25" s="36">
        <f t="shared" si="11"/>
        <v>0.63999999999998636</v>
      </c>
      <c r="T25" s="38">
        <f t="shared" si="18"/>
        <v>6.4006400640062638E-3</v>
      </c>
      <c r="U25" s="23"/>
      <c r="V25" s="36">
        <f t="shared" si="12"/>
        <v>58.41</v>
      </c>
      <c r="W25" s="36">
        <f t="shared" si="13"/>
        <v>43.45</v>
      </c>
      <c r="X25" s="36">
        <f t="shared" si="14"/>
        <v>101.86</v>
      </c>
      <c r="Y25" s="36"/>
      <c r="Z25" s="36">
        <f t="shared" si="15"/>
        <v>1.230000000000004</v>
      </c>
      <c r="AA25" s="38">
        <f t="shared" si="16"/>
        <v>1.2222995130676777E-2</v>
      </c>
    </row>
    <row r="26" spans="1:27" ht="14" x14ac:dyDescent="0.3">
      <c r="A26" s="57">
        <f t="shared" si="0"/>
        <v>26</v>
      </c>
      <c r="B26" s="31"/>
      <c r="C26" s="35"/>
      <c r="D26" s="63"/>
      <c r="E26" s="42"/>
      <c r="F26" s="42"/>
      <c r="G26" s="43"/>
      <c r="H26" s="42"/>
      <c r="I26" s="42"/>
      <c r="J26" s="42"/>
      <c r="K26" s="43"/>
      <c r="L26" s="43"/>
      <c r="X26" s="40"/>
    </row>
    <row r="27" spans="1:27" ht="14" x14ac:dyDescent="0.3">
      <c r="A27" s="57">
        <f t="shared" si="0"/>
        <v>27</v>
      </c>
      <c r="B27" s="31"/>
      <c r="C27" s="41"/>
      <c r="D27" s="42"/>
      <c r="E27" s="42"/>
      <c r="F27" s="42"/>
      <c r="G27" s="43"/>
      <c r="H27" s="42"/>
      <c r="I27" s="42"/>
      <c r="J27" s="42"/>
      <c r="K27" s="43"/>
      <c r="L27" s="43"/>
      <c r="X27" s="40"/>
    </row>
    <row r="28" spans="1:27" ht="14" x14ac:dyDescent="0.3">
      <c r="A28" s="57">
        <f t="shared" si="0"/>
        <v>28</v>
      </c>
      <c r="B28" s="31"/>
      <c r="C28" s="44" t="s">
        <v>53</v>
      </c>
      <c r="D28" s="37"/>
      <c r="E28" s="37"/>
      <c r="G28" s="60"/>
      <c r="H28" s="45">
        <f>+'EMA R1'!H28</f>
        <v>2024</v>
      </c>
      <c r="I28" s="45">
        <f>'EMA R1'!I28</f>
        <v>2025</v>
      </c>
      <c r="J28" s="45">
        <f>'EMA R1'!J28</f>
        <v>2026</v>
      </c>
      <c r="K28" s="45"/>
      <c r="L28" s="45">
        <f>'EMA R1'!L28</f>
        <v>2027</v>
      </c>
      <c r="M28" s="59" t="str">
        <f>'EMA R1'!M28</f>
        <v>2025 v 2024</v>
      </c>
      <c r="N28" s="59"/>
      <c r="O28" s="59" t="str">
        <f>'EMA R1'!O28</f>
        <v>2026 v 2025</v>
      </c>
      <c r="P28" s="59" t="str">
        <f>'EMA R1'!P28</f>
        <v>2027 v 2026</v>
      </c>
    </row>
    <row r="29" spans="1:27" ht="14" x14ac:dyDescent="0.3">
      <c r="A29" s="57">
        <f t="shared" si="0"/>
        <v>29</v>
      </c>
      <c r="B29" s="31"/>
      <c r="C29" s="44" t="s">
        <v>53</v>
      </c>
      <c r="D29" s="37"/>
      <c r="E29" s="37"/>
      <c r="G29" s="60"/>
      <c r="H29" s="47" t="str">
        <f>+'EMA R1'!H29</f>
        <v>Rates</v>
      </c>
      <c r="I29" s="47" t="s">
        <v>57</v>
      </c>
      <c r="J29" s="47" t="s">
        <v>57</v>
      </c>
      <c r="K29" s="37"/>
      <c r="L29" s="47" t="s">
        <v>57</v>
      </c>
      <c r="M29" s="48" t="s">
        <v>51</v>
      </c>
      <c r="N29" s="57"/>
      <c r="O29" s="48" t="s">
        <v>51</v>
      </c>
      <c r="P29" s="48" t="s">
        <v>51</v>
      </c>
    </row>
    <row r="30" spans="1:27" ht="14" x14ac:dyDescent="0.3">
      <c r="A30" s="57">
        <f t="shared" si="0"/>
        <v>30</v>
      </c>
      <c r="B30" s="31"/>
      <c r="C30" s="28" t="str">
        <f>+'EMA R1'!C30</f>
        <v>Customer Charge</v>
      </c>
      <c r="D30" s="37"/>
      <c r="E30" s="37"/>
      <c r="G30" s="37"/>
      <c r="H30" s="49">
        <v>10</v>
      </c>
      <c r="I30" s="49">
        <f t="shared" ref="I30:I58" si="19">+H30</f>
        <v>10</v>
      </c>
      <c r="J30" s="49">
        <f t="shared" ref="J30:J58" si="20">H30</f>
        <v>10</v>
      </c>
      <c r="K30" s="37"/>
      <c r="L30" s="49">
        <f t="shared" ref="L30:L58" si="21">H30</f>
        <v>10</v>
      </c>
      <c r="M30" s="50">
        <f t="shared" ref="M30:M58" si="22">+I30-H30</f>
        <v>0</v>
      </c>
      <c r="N30" s="50"/>
      <c r="O30" s="50">
        <f t="shared" ref="O30:O58" si="23">+J30-I30</f>
        <v>0</v>
      </c>
      <c r="P30" s="50">
        <f t="shared" ref="P30:P58" si="24">+L30-J30</f>
        <v>0</v>
      </c>
      <c r="Q30" s="51" t="s">
        <v>59</v>
      </c>
    </row>
    <row r="31" spans="1:27" ht="14" x14ac:dyDescent="0.3">
      <c r="A31" s="57">
        <f t="shared" si="0"/>
        <v>31</v>
      </c>
      <c r="B31" s="31"/>
      <c r="C31" s="28" t="str">
        <f>+'EMA R1'!C31</f>
        <v>Distribution Energy</v>
      </c>
      <c r="D31" s="37"/>
      <c r="E31" s="37"/>
      <c r="G31" s="55"/>
      <c r="H31" s="53">
        <v>5.9089999999999997E-2</v>
      </c>
      <c r="I31" s="53">
        <f t="shared" si="19"/>
        <v>5.9089999999999997E-2</v>
      </c>
      <c r="J31" s="53">
        <f t="shared" si="20"/>
        <v>5.9089999999999997E-2</v>
      </c>
      <c r="K31" s="37"/>
      <c r="L31" s="53">
        <f t="shared" si="21"/>
        <v>5.9089999999999997E-2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51" t="s">
        <v>59</v>
      </c>
    </row>
    <row r="32" spans="1:27" ht="14" x14ac:dyDescent="0.3">
      <c r="A32" s="57">
        <f t="shared" si="0"/>
        <v>32</v>
      </c>
      <c r="B32" s="31"/>
      <c r="C32" s="52" t="s">
        <v>61</v>
      </c>
      <c r="D32" s="37"/>
      <c r="E32" s="37"/>
      <c r="G32" s="55"/>
      <c r="H32" s="53">
        <v>1.01E-3</v>
      </c>
      <c r="I32" s="53">
        <f t="shared" si="19"/>
        <v>1.01E-3</v>
      </c>
      <c r="J32" s="53">
        <f t="shared" si="20"/>
        <v>1.01E-3</v>
      </c>
      <c r="K32" s="37"/>
      <c r="L32" s="53">
        <f t="shared" si="21"/>
        <v>1.01E-3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51" t="s">
        <v>62</v>
      </c>
    </row>
    <row r="33" spans="1:17" ht="14" x14ac:dyDescent="0.3">
      <c r="A33" s="57">
        <f t="shared" si="0"/>
        <v>33</v>
      </c>
      <c r="B33" s="31"/>
      <c r="C33" s="28" t="str">
        <f>+'EMA R1'!C33</f>
        <v>Revenue Decoupling</v>
      </c>
      <c r="D33" s="37"/>
      <c r="E33" s="37"/>
      <c r="G33" s="53"/>
      <c r="H33" s="53">
        <v>6.0000000000000002E-5</v>
      </c>
      <c r="I33" s="53">
        <f t="shared" si="19"/>
        <v>6.0000000000000002E-5</v>
      </c>
      <c r="J33" s="53">
        <f t="shared" si="20"/>
        <v>6.0000000000000002E-5</v>
      </c>
      <c r="K33" s="37"/>
      <c r="L33" s="53">
        <f t="shared" si="21"/>
        <v>6.0000000000000002E-5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51" t="s">
        <v>64</v>
      </c>
    </row>
    <row r="34" spans="1:17" ht="14" x14ac:dyDescent="0.3">
      <c r="A34" s="57">
        <f t="shared" si="0"/>
        <v>34</v>
      </c>
      <c r="B34" s="31"/>
      <c r="C34" s="28" t="str">
        <f>+'EMA R1'!C34</f>
        <v>Distributed Solar Charge</v>
      </c>
      <c r="D34" s="37"/>
      <c r="E34" s="37"/>
      <c r="G34" s="53"/>
      <c r="H34" s="53">
        <v>8.0000000000000002E-3</v>
      </c>
      <c r="I34" s="53">
        <f t="shared" si="19"/>
        <v>8.0000000000000002E-3</v>
      </c>
      <c r="J34" s="53">
        <f t="shared" si="20"/>
        <v>8.0000000000000002E-3</v>
      </c>
      <c r="K34" s="37"/>
      <c r="L34" s="53">
        <f t="shared" si="21"/>
        <v>8.0000000000000002E-3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51" t="s">
        <v>66</v>
      </c>
    </row>
    <row r="35" spans="1:17" ht="14" x14ac:dyDescent="0.3">
      <c r="A35" s="57">
        <f t="shared" si="0"/>
        <v>35</v>
      </c>
      <c r="B35" s="31"/>
      <c r="C35" s="28" t="str">
        <f>+'EMA R1'!C35</f>
        <v>Residential Assistance Adjustment Factor</v>
      </c>
      <c r="D35" s="37"/>
      <c r="E35" s="37"/>
      <c r="G35" s="53"/>
      <c r="H35" s="53">
        <v>8.1600000000000006E-3</v>
      </c>
      <c r="I35" s="53">
        <f t="shared" si="19"/>
        <v>8.1600000000000006E-3</v>
      </c>
      <c r="J35" s="53">
        <f t="shared" si="20"/>
        <v>8.1600000000000006E-3</v>
      </c>
      <c r="K35" s="37"/>
      <c r="L35" s="53">
        <f t="shared" si="21"/>
        <v>8.1600000000000006E-3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51" t="s">
        <v>68</v>
      </c>
    </row>
    <row r="36" spans="1:17" ht="14" x14ac:dyDescent="0.3">
      <c r="A36" s="57">
        <f t="shared" si="0"/>
        <v>36</v>
      </c>
      <c r="B36" s="31"/>
      <c r="C36" s="28" t="str">
        <f>+'EMA R1'!C36</f>
        <v>Pension Adjustment Factor</v>
      </c>
      <c r="D36" s="37"/>
      <c r="E36" s="37"/>
      <c r="G36" s="53"/>
      <c r="H36" s="53">
        <v>8.5999999999999998E-4</v>
      </c>
      <c r="I36" s="53">
        <f t="shared" si="19"/>
        <v>8.5999999999999998E-4</v>
      </c>
      <c r="J36" s="53">
        <f t="shared" si="20"/>
        <v>8.5999999999999998E-4</v>
      </c>
      <c r="K36" s="37"/>
      <c r="L36" s="53">
        <f t="shared" si="21"/>
        <v>8.5999999999999998E-4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51" t="s">
        <v>70</v>
      </c>
    </row>
    <row r="37" spans="1:17" ht="14" x14ac:dyDescent="0.3">
      <c r="A37" s="57">
        <f t="shared" si="0"/>
        <v>37</v>
      </c>
      <c r="B37" s="31"/>
      <c r="C37" s="28" t="str">
        <f>+'EMA R1'!C37</f>
        <v>Net Metering Recovery Surcharge</v>
      </c>
      <c r="D37" s="37"/>
      <c r="E37" s="37"/>
      <c r="G37" s="53"/>
      <c r="H37" s="53">
        <v>1.6219999999999998E-2</v>
      </c>
      <c r="I37" s="53">
        <f t="shared" si="19"/>
        <v>1.6219999999999998E-2</v>
      </c>
      <c r="J37" s="53">
        <f t="shared" si="20"/>
        <v>1.6219999999999998E-2</v>
      </c>
      <c r="K37" s="37"/>
      <c r="L37" s="53">
        <f t="shared" si="21"/>
        <v>1.6219999999999998E-2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51" t="s">
        <v>72</v>
      </c>
    </row>
    <row r="38" spans="1:17" ht="14" x14ac:dyDescent="0.3">
      <c r="A38" s="57">
        <f t="shared" si="0"/>
        <v>38</v>
      </c>
      <c r="B38" s="31"/>
      <c r="C38" s="28" t="str">
        <f>+'EMA R1'!C38</f>
        <v>Long Term Renewable Contract Adjustment</v>
      </c>
      <c r="D38" s="37"/>
      <c r="E38" s="37"/>
      <c r="G38" s="53"/>
      <c r="H38" s="53">
        <v>-1.9300000000000001E-3</v>
      </c>
      <c r="I38" s="53">
        <f t="shared" si="19"/>
        <v>-1.9300000000000001E-3</v>
      </c>
      <c r="J38" s="53">
        <f t="shared" si="20"/>
        <v>-1.9300000000000001E-3</v>
      </c>
      <c r="K38" s="37"/>
      <c r="L38" s="53">
        <f t="shared" si="21"/>
        <v>-1.9300000000000001E-3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51" t="s">
        <v>74</v>
      </c>
    </row>
    <row r="39" spans="1:17" ht="14" x14ac:dyDescent="0.3">
      <c r="A39" s="57">
        <f t="shared" si="0"/>
        <v>39</v>
      </c>
      <c r="B39" s="31"/>
      <c r="C39" s="28" t="str">
        <f>+'EMA R1'!C39</f>
        <v>AG Consulting Expense</v>
      </c>
      <c r="D39" s="37"/>
      <c r="E39" s="37"/>
      <c r="G39" s="53"/>
      <c r="H39" s="53">
        <v>5.0000000000000002E-5</v>
      </c>
      <c r="I39" s="53">
        <f t="shared" si="19"/>
        <v>5.0000000000000002E-5</v>
      </c>
      <c r="J39" s="53">
        <f t="shared" si="20"/>
        <v>5.0000000000000002E-5</v>
      </c>
      <c r="K39" s="37"/>
      <c r="L39" s="53">
        <f t="shared" si="21"/>
        <v>5.0000000000000002E-5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51" t="s">
        <v>76</v>
      </c>
    </row>
    <row r="40" spans="1:17" ht="14" x14ac:dyDescent="0.3">
      <c r="A40" s="57">
        <f t="shared" si="0"/>
        <v>40</v>
      </c>
      <c r="B40" s="31"/>
      <c r="C40" s="28" t="str">
        <f>+'EMA R1'!C40</f>
        <v>Storm Cost Recovery Adjustment Factor</v>
      </c>
      <c r="D40" s="37"/>
      <c r="E40" s="37"/>
      <c r="G40" s="53"/>
      <c r="H40" s="53">
        <v>6.6299999999999996E-3</v>
      </c>
      <c r="I40" s="53">
        <f t="shared" si="19"/>
        <v>6.6299999999999996E-3</v>
      </c>
      <c r="J40" s="53">
        <f t="shared" si="20"/>
        <v>6.6299999999999996E-3</v>
      </c>
      <c r="K40" s="37"/>
      <c r="L40" s="53">
        <f t="shared" si="21"/>
        <v>6.6299999999999996E-3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51" t="s">
        <v>78</v>
      </c>
    </row>
    <row r="41" spans="1:17" ht="14" x14ac:dyDescent="0.3">
      <c r="A41" s="57">
        <f t="shared" si="0"/>
        <v>41</v>
      </c>
      <c r="B41" s="31"/>
      <c r="C41" s="28" t="str">
        <f>+'EMA R1'!C41</f>
        <v>Storm Reserve Adjustment</v>
      </c>
      <c r="D41" s="37"/>
      <c r="E41" s="37"/>
      <c r="G41" s="53"/>
      <c r="H41" s="53">
        <v>0</v>
      </c>
      <c r="I41" s="53">
        <f t="shared" si="19"/>
        <v>0</v>
      </c>
      <c r="J41" s="53">
        <f t="shared" si="20"/>
        <v>0</v>
      </c>
      <c r="K41" s="37"/>
      <c r="L41" s="53">
        <f t="shared" si="21"/>
        <v>0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51" t="s">
        <v>80</v>
      </c>
    </row>
    <row r="42" spans="1:17" ht="14" x14ac:dyDescent="0.3">
      <c r="A42" s="57">
        <f t="shared" si="0"/>
        <v>42</v>
      </c>
      <c r="B42" s="31"/>
      <c r="C42" s="28" t="str">
        <f>+'EMA R1'!C42</f>
        <v>Basic Service Cost True Up Factor</v>
      </c>
      <c r="D42" s="37"/>
      <c r="E42" s="37"/>
      <c r="G42" s="53"/>
      <c r="H42" s="53">
        <v>-4.6000000000000001E-4</v>
      </c>
      <c r="I42" s="53">
        <f t="shared" si="19"/>
        <v>-4.6000000000000001E-4</v>
      </c>
      <c r="J42" s="53">
        <f t="shared" si="20"/>
        <v>-4.6000000000000001E-4</v>
      </c>
      <c r="K42" s="37"/>
      <c r="L42" s="53">
        <f t="shared" si="21"/>
        <v>-4.6000000000000001E-4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51" t="s">
        <v>82</v>
      </c>
    </row>
    <row r="43" spans="1:17" ht="14" x14ac:dyDescent="0.3">
      <c r="A43" s="57">
        <f t="shared" si="0"/>
        <v>43</v>
      </c>
      <c r="B43" s="31"/>
      <c r="C43" s="28" t="str">
        <f>+'EMA R1'!C43</f>
        <v>Solar Program Cost Adjustment Factor</v>
      </c>
      <c r="D43" s="37"/>
      <c r="E43" s="37"/>
      <c r="G43" s="53"/>
      <c r="H43" s="53">
        <v>2.0000000000000002E-5</v>
      </c>
      <c r="I43" s="53">
        <f t="shared" si="19"/>
        <v>2.0000000000000002E-5</v>
      </c>
      <c r="J43" s="53">
        <f t="shared" si="20"/>
        <v>2.0000000000000002E-5</v>
      </c>
      <c r="K43" s="37"/>
      <c r="L43" s="53">
        <f t="shared" si="21"/>
        <v>2.0000000000000002E-5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51" t="s">
        <v>84</v>
      </c>
    </row>
    <row r="44" spans="1:17" ht="14" x14ac:dyDescent="0.3">
      <c r="A44" s="57">
        <f t="shared" si="0"/>
        <v>44</v>
      </c>
      <c r="B44" s="31"/>
      <c r="C44" s="28" t="str">
        <f>+'EMA R1'!C44</f>
        <v>Solar Expansion Cost Recovery Factor</v>
      </c>
      <c r="D44" s="37"/>
      <c r="E44" s="37"/>
      <c r="G44" s="53"/>
      <c r="H44" s="53">
        <v>-5.1000000000000004E-4</v>
      </c>
      <c r="I44" s="53">
        <f t="shared" si="19"/>
        <v>-5.1000000000000004E-4</v>
      </c>
      <c r="J44" s="53">
        <f t="shared" si="20"/>
        <v>-5.1000000000000004E-4</v>
      </c>
      <c r="K44" s="37"/>
      <c r="L44" s="53">
        <f t="shared" si="21"/>
        <v>-5.1000000000000004E-4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51" t="s">
        <v>86</v>
      </c>
    </row>
    <row r="45" spans="1:17" ht="14" x14ac:dyDescent="0.3">
      <c r="A45" s="57">
        <f t="shared" si="0"/>
        <v>45</v>
      </c>
      <c r="B45" s="31"/>
      <c r="C45" s="28" t="str">
        <f>+'EMA R1'!C45</f>
        <v>Vegetation Management</v>
      </c>
      <c r="D45" s="37"/>
      <c r="E45" s="37"/>
      <c r="G45" s="53"/>
      <c r="H45" s="53">
        <v>1.9300000000000001E-3</v>
      </c>
      <c r="I45" s="53">
        <f t="shared" si="19"/>
        <v>1.9300000000000001E-3</v>
      </c>
      <c r="J45" s="53">
        <f t="shared" si="20"/>
        <v>1.9300000000000001E-3</v>
      </c>
      <c r="K45" s="37"/>
      <c r="L45" s="53">
        <f t="shared" si="21"/>
        <v>1.9300000000000001E-3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51" t="s">
        <v>88</v>
      </c>
    </row>
    <row r="46" spans="1:17" ht="14" x14ac:dyDescent="0.3">
      <c r="A46" s="57">
        <f t="shared" si="0"/>
        <v>46</v>
      </c>
      <c r="B46" s="31"/>
      <c r="C46" s="28" t="str">
        <f>+'EMA R1'!C46</f>
        <v>Tax Act Credit Factor</v>
      </c>
      <c r="D46" s="37"/>
      <c r="E46" s="37"/>
      <c r="G46" s="53"/>
      <c r="H46" s="53">
        <v>-1.8E-3</v>
      </c>
      <c r="I46" s="53">
        <f t="shared" si="19"/>
        <v>-1.8E-3</v>
      </c>
      <c r="J46" s="53">
        <f t="shared" si="20"/>
        <v>-1.8E-3</v>
      </c>
      <c r="K46" s="37"/>
      <c r="L46" s="53">
        <f t="shared" si="21"/>
        <v>-1.8E-3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51" t="s">
        <v>90</v>
      </c>
    </row>
    <row r="47" spans="1:17" ht="14" x14ac:dyDescent="0.3">
      <c r="A47" s="57">
        <f t="shared" si="0"/>
        <v>47</v>
      </c>
      <c r="B47" s="31"/>
      <c r="C47" s="28" t="str">
        <f>+'EMA R1'!C47</f>
        <v>Grid Modernization</v>
      </c>
      <c r="D47" s="37"/>
      <c r="E47" s="37"/>
      <c r="G47" s="53"/>
      <c r="H47" s="53">
        <v>2.2100000000000002E-3</v>
      </c>
      <c r="I47" s="53">
        <f t="shared" si="19"/>
        <v>2.2100000000000002E-3</v>
      </c>
      <c r="J47" s="53">
        <f t="shared" si="20"/>
        <v>2.2100000000000002E-3</v>
      </c>
      <c r="K47" s="37"/>
      <c r="L47" s="53">
        <f t="shared" si="21"/>
        <v>2.2100000000000002E-3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51" t="s">
        <v>92</v>
      </c>
    </row>
    <row r="48" spans="1:17" ht="14" x14ac:dyDescent="0.3">
      <c r="A48" s="57">
        <f t="shared" si="0"/>
        <v>48</v>
      </c>
      <c r="B48" s="31"/>
      <c r="C48" s="28" t="str">
        <f>+'EMA R1'!C48</f>
        <v>Advanced Metering Infrastructure</v>
      </c>
      <c r="D48" s="37"/>
      <c r="E48" s="37"/>
      <c r="G48" s="53"/>
      <c r="H48" s="53">
        <v>2.9399999999999999E-3</v>
      </c>
      <c r="I48" s="53">
        <f t="shared" si="19"/>
        <v>2.9399999999999999E-3</v>
      </c>
      <c r="J48" s="53">
        <f t="shared" si="20"/>
        <v>2.9399999999999999E-3</v>
      </c>
      <c r="K48" s="37"/>
      <c r="L48" s="53">
        <f t="shared" si="21"/>
        <v>2.9399999999999999E-3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51" t="s">
        <v>94</v>
      </c>
    </row>
    <row r="49" spans="1:17" ht="14" x14ac:dyDescent="0.3">
      <c r="A49" s="57">
        <f t="shared" si="0"/>
        <v>49</v>
      </c>
      <c r="B49" s="31"/>
      <c r="C49" s="28" t="str">
        <f>+'EMA R1'!C49</f>
        <v>Electronic Payment Recovery</v>
      </c>
      <c r="D49" s="37"/>
      <c r="E49" s="37"/>
      <c r="G49" s="53"/>
      <c r="H49" s="53">
        <v>0</v>
      </c>
      <c r="I49" s="53">
        <f t="shared" si="19"/>
        <v>0</v>
      </c>
      <c r="J49" s="53">
        <f t="shared" si="20"/>
        <v>0</v>
      </c>
      <c r="K49" s="37"/>
      <c r="L49" s="53">
        <f t="shared" si="21"/>
        <v>0</v>
      </c>
      <c r="M49" s="54">
        <f t="shared" si="22"/>
        <v>0</v>
      </c>
      <c r="N49" s="54"/>
      <c r="O49" s="54">
        <f t="shared" si="23"/>
        <v>0</v>
      </c>
      <c r="P49" s="54">
        <f t="shared" si="24"/>
        <v>0</v>
      </c>
      <c r="Q49" s="51" t="s">
        <v>96</v>
      </c>
    </row>
    <row r="50" spans="1:17" ht="14" x14ac:dyDescent="0.3">
      <c r="A50" s="57">
        <f t="shared" si="0"/>
        <v>50</v>
      </c>
      <c r="B50" s="31"/>
      <c r="C50" s="28" t="str">
        <f>+'EMA R1'!C50</f>
        <v>Provisional System Planning Factor</v>
      </c>
      <c r="D50" s="37"/>
      <c r="E50" s="37"/>
      <c r="G50" s="53"/>
      <c r="H50" s="53">
        <v>0</v>
      </c>
      <c r="I50" s="53">
        <f t="shared" si="19"/>
        <v>0</v>
      </c>
      <c r="J50" s="53">
        <f t="shared" si="20"/>
        <v>0</v>
      </c>
      <c r="K50" s="37"/>
      <c r="L50" s="53">
        <f t="shared" si="21"/>
        <v>0</v>
      </c>
      <c r="M50" s="54">
        <f t="shared" si="22"/>
        <v>0</v>
      </c>
      <c r="N50" s="54"/>
      <c r="O50" s="54">
        <f t="shared" si="23"/>
        <v>0</v>
      </c>
      <c r="P50" s="54">
        <f t="shared" si="24"/>
        <v>0</v>
      </c>
      <c r="Q50" s="51" t="s">
        <v>98</v>
      </c>
    </row>
    <row r="51" spans="1:17" ht="14" x14ac:dyDescent="0.3">
      <c r="A51" s="57">
        <f t="shared" si="0"/>
        <v>51</v>
      </c>
      <c r="B51" s="31"/>
      <c r="C51" s="28" t="str">
        <f>+'EMA R1'!C51</f>
        <v>Electric Vehicle Factor</v>
      </c>
      <c r="D51" s="37"/>
      <c r="E51" s="37"/>
      <c r="G51" s="53"/>
      <c r="H51" s="53">
        <v>1.3799999999999999E-3</v>
      </c>
      <c r="I51" s="53">
        <f t="shared" si="19"/>
        <v>1.3799999999999999E-3</v>
      </c>
      <c r="J51" s="53">
        <f t="shared" si="20"/>
        <v>1.3799999999999999E-3</v>
      </c>
      <c r="K51" s="37"/>
      <c r="L51" s="53">
        <f t="shared" si="21"/>
        <v>1.3799999999999999E-3</v>
      </c>
      <c r="M51" s="54">
        <f t="shared" si="22"/>
        <v>0</v>
      </c>
      <c r="N51" s="54"/>
      <c r="O51" s="54">
        <f t="shared" si="23"/>
        <v>0</v>
      </c>
      <c r="P51" s="54">
        <f t="shared" si="24"/>
        <v>0</v>
      </c>
      <c r="Q51" s="51" t="s">
        <v>100</v>
      </c>
    </row>
    <row r="52" spans="1:17" ht="14" x14ac:dyDescent="0.3">
      <c r="A52" s="57">
        <f t="shared" si="0"/>
        <v>52</v>
      </c>
      <c r="B52" s="31"/>
      <c r="C52" s="28" t="str">
        <f>+'EMA R1'!C52</f>
        <v>Transition</v>
      </c>
      <c r="D52" s="37"/>
      <c r="E52" s="37"/>
      <c r="G52" s="53"/>
      <c r="H52" s="53">
        <v>-3.6999999999999999E-4</v>
      </c>
      <c r="I52" s="53">
        <f t="shared" si="19"/>
        <v>-3.6999999999999999E-4</v>
      </c>
      <c r="J52" s="53">
        <f t="shared" si="20"/>
        <v>-3.6999999999999999E-4</v>
      </c>
      <c r="K52" s="37"/>
      <c r="L52" s="53">
        <f t="shared" si="21"/>
        <v>-3.6999999999999999E-4</v>
      </c>
      <c r="M52" s="54">
        <f t="shared" si="22"/>
        <v>0</v>
      </c>
      <c r="N52" s="54"/>
      <c r="O52" s="54">
        <f t="shared" si="23"/>
        <v>0</v>
      </c>
      <c r="P52" s="54">
        <f t="shared" si="24"/>
        <v>0</v>
      </c>
      <c r="Q52" s="51" t="s">
        <v>102</v>
      </c>
    </row>
    <row r="53" spans="1:17" ht="14" x14ac:dyDescent="0.3">
      <c r="A53" s="57">
        <f t="shared" si="0"/>
        <v>53</v>
      </c>
      <c r="B53" s="31"/>
      <c r="C53" s="28" t="str">
        <f>+'EMA R1'!C53</f>
        <v>Transmission Energy</v>
      </c>
      <c r="D53" s="37"/>
      <c r="E53" s="37"/>
      <c r="G53" s="53"/>
      <c r="H53" s="53">
        <v>4.052E-2</v>
      </c>
      <c r="I53" s="53">
        <f t="shared" si="19"/>
        <v>4.052E-2</v>
      </c>
      <c r="J53" s="53">
        <f t="shared" si="20"/>
        <v>4.052E-2</v>
      </c>
      <c r="K53" s="37"/>
      <c r="L53" s="53">
        <f t="shared" si="21"/>
        <v>4.052E-2</v>
      </c>
      <c r="M53" s="54">
        <f t="shared" si="22"/>
        <v>0</v>
      </c>
      <c r="N53" s="54"/>
      <c r="O53" s="54">
        <f t="shared" si="23"/>
        <v>0</v>
      </c>
      <c r="P53" s="54">
        <f t="shared" si="24"/>
        <v>0</v>
      </c>
      <c r="Q53" s="51" t="s">
        <v>104</v>
      </c>
    </row>
    <row r="54" spans="1:17" ht="14" x14ac:dyDescent="0.3">
      <c r="A54" s="57">
        <f t="shared" si="0"/>
        <v>54</v>
      </c>
      <c r="B54" s="31"/>
      <c r="C54" s="28" t="str">
        <f>+'EMA R1'!C54</f>
        <v>Energy Efficiency Reconciliation Factor</v>
      </c>
      <c r="D54" s="37"/>
      <c r="E54" s="37"/>
      <c r="G54" s="53"/>
      <c r="H54" s="53">
        <v>2.861E-2</v>
      </c>
      <c r="I54" s="53">
        <v>3.7179999999999998E-2</v>
      </c>
      <c r="J54" s="53">
        <v>3.9489999999999997E-2</v>
      </c>
      <c r="K54" s="53"/>
      <c r="L54" s="53">
        <v>4.3970000000000002E-2</v>
      </c>
      <c r="M54" s="54">
        <f t="shared" si="22"/>
        <v>8.5699999999999978E-3</v>
      </c>
      <c r="N54" s="54"/>
      <c r="O54" s="54">
        <f t="shared" si="23"/>
        <v>2.3099999999999996E-3</v>
      </c>
      <c r="P54" s="54">
        <f t="shared" si="24"/>
        <v>4.4800000000000048E-3</v>
      </c>
      <c r="Q54" s="51" t="s">
        <v>106</v>
      </c>
    </row>
    <row r="55" spans="1:17" ht="14" x14ac:dyDescent="0.3">
      <c r="A55" s="57">
        <f t="shared" si="0"/>
        <v>55</v>
      </c>
      <c r="B55" s="31"/>
      <c r="C55" s="28" t="str">
        <f>+'EMA R1'!C55</f>
        <v>System Benefits Charge</v>
      </c>
      <c r="D55" s="37"/>
      <c r="E55" s="37"/>
      <c r="G55" s="53"/>
      <c r="H55" s="53">
        <v>2.5000000000000001E-3</v>
      </c>
      <c r="I55" s="53">
        <f t="shared" si="19"/>
        <v>2.5000000000000001E-3</v>
      </c>
      <c r="J55" s="53">
        <f t="shared" si="20"/>
        <v>2.5000000000000001E-3</v>
      </c>
      <c r="K55" s="37"/>
      <c r="L55" s="53">
        <f t="shared" si="21"/>
        <v>2.5000000000000001E-3</v>
      </c>
      <c r="M55" s="54">
        <f t="shared" si="22"/>
        <v>0</v>
      </c>
      <c r="N55" s="54"/>
      <c r="O55" s="54">
        <f t="shared" si="23"/>
        <v>0</v>
      </c>
      <c r="P55" s="54">
        <f t="shared" si="24"/>
        <v>0</v>
      </c>
      <c r="Q55" s="51" t="s">
        <v>108</v>
      </c>
    </row>
    <row r="56" spans="1:17" ht="14" x14ac:dyDescent="0.3">
      <c r="A56" s="57">
        <f t="shared" si="0"/>
        <v>56</v>
      </c>
      <c r="B56" s="31"/>
      <c r="C56" s="28" t="str">
        <f>+'EMA R1'!C56</f>
        <v>Renewable Energy Charge</v>
      </c>
      <c r="D56" s="37"/>
      <c r="E56" s="37"/>
      <c r="G56" s="53"/>
      <c r="H56" s="53">
        <v>5.0000000000000001E-4</v>
      </c>
      <c r="I56" s="53">
        <f t="shared" si="19"/>
        <v>5.0000000000000001E-4</v>
      </c>
      <c r="J56" s="53">
        <f t="shared" si="20"/>
        <v>5.0000000000000001E-4</v>
      </c>
      <c r="K56" s="37"/>
      <c r="L56" s="53">
        <f t="shared" si="21"/>
        <v>5.0000000000000001E-4</v>
      </c>
      <c r="M56" s="54">
        <f t="shared" si="22"/>
        <v>0</v>
      </c>
      <c r="N56" s="54"/>
      <c r="O56" s="54">
        <f t="shared" si="23"/>
        <v>0</v>
      </c>
      <c r="P56" s="54">
        <f t="shared" si="24"/>
        <v>0</v>
      </c>
      <c r="Q56" s="51" t="s">
        <v>110</v>
      </c>
    </row>
    <row r="57" spans="1:17" ht="14" x14ac:dyDescent="0.3">
      <c r="A57" s="57">
        <f t="shared" si="0"/>
        <v>57</v>
      </c>
      <c r="B57" s="31"/>
      <c r="C57" s="28" t="str">
        <f>+'EMA R1'!C57</f>
        <v>Basic Service Charge</v>
      </c>
      <c r="D57" s="37"/>
      <c r="E57" s="37"/>
      <c r="G57" s="53"/>
      <c r="H57" s="53">
        <v>0.15772</v>
      </c>
      <c r="I57" s="53">
        <f t="shared" si="19"/>
        <v>0.15772</v>
      </c>
      <c r="J57" s="53">
        <f t="shared" si="20"/>
        <v>0.15772</v>
      </c>
      <c r="K57" s="37"/>
      <c r="L57" s="53">
        <f t="shared" si="21"/>
        <v>0.15772</v>
      </c>
      <c r="M57" s="54">
        <f t="shared" si="22"/>
        <v>0</v>
      </c>
      <c r="N57" s="54"/>
      <c r="O57" s="54">
        <f t="shared" si="23"/>
        <v>0</v>
      </c>
      <c r="P57" s="54">
        <f t="shared" si="24"/>
        <v>0</v>
      </c>
      <c r="Q57" s="51" t="s">
        <v>112</v>
      </c>
    </row>
    <row r="58" spans="1:17" ht="14" x14ac:dyDescent="0.3">
      <c r="A58" s="57">
        <f t="shared" si="0"/>
        <v>58</v>
      </c>
      <c r="B58" s="31"/>
      <c r="C58" s="28" t="s">
        <v>117</v>
      </c>
      <c r="D58" s="37"/>
      <c r="E58" s="37"/>
      <c r="G58" s="64"/>
      <c r="H58" s="65">
        <v>0.42</v>
      </c>
      <c r="I58" s="65">
        <f t="shared" si="19"/>
        <v>0.42</v>
      </c>
      <c r="J58" s="65">
        <f t="shared" si="20"/>
        <v>0.42</v>
      </c>
      <c r="K58" s="37"/>
      <c r="L58" s="65">
        <f t="shared" si="21"/>
        <v>0.42</v>
      </c>
      <c r="M58" s="64">
        <f t="shared" si="22"/>
        <v>0</v>
      </c>
      <c r="N58" s="64"/>
      <c r="O58" s="64">
        <f t="shared" si="23"/>
        <v>0</v>
      </c>
      <c r="P58" s="64">
        <f t="shared" si="24"/>
        <v>0</v>
      </c>
      <c r="Q58" s="51" t="s">
        <v>59</v>
      </c>
    </row>
    <row r="59" spans="1:17" ht="14" x14ac:dyDescent="0.3">
      <c r="A59" s="31"/>
      <c r="B59" s="31"/>
      <c r="C59" s="28"/>
      <c r="D59" s="37"/>
      <c r="E59" s="37"/>
      <c r="F59" s="55"/>
      <c r="G59" s="55"/>
      <c r="H59" s="55"/>
      <c r="I59" s="55"/>
      <c r="J59" s="37"/>
      <c r="K59" s="37"/>
      <c r="L59" s="37"/>
    </row>
    <row r="60" spans="1:17" ht="14" x14ac:dyDescent="0.3">
      <c r="A60" s="31"/>
      <c r="B60" s="31"/>
      <c r="D60" s="37"/>
      <c r="E60" s="37"/>
      <c r="F60" s="55"/>
      <c r="G60" s="55"/>
      <c r="H60" s="55"/>
      <c r="I60" s="55"/>
      <c r="J60" s="37"/>
      <c r="K60" s="37"/>
      <c r="L60" s="37"/>
    </row>
    <row r="61" spans="1:17" ht="14" x14ac:dyDescent="0.3">
      <c r="A61" s="31"/>
      <c r="B61" s="31"/>
      <c r="C61" s="28" t="s">
        <v>113</v>
      </c>
      <c r="D61" s="37"/>
      <c r="E61" s="37"/>
      <c r="G61" s="55"/>
      <c r="H61" s="55">
        <f>SUM(H31:H56)</f>
        <v>0.17562000000000003</v>
      </c>
      <c r="I61" s="55">
        <f>SUM(I31:I56)</f>
        <v>0.18419000000000002</v>
      </c>
      <c r="J61" s="55">
        <f>SUM(J31:J56)</f>
        <v>0.18650000000000003</v>
      </c>
      <c r="K61" s="37"/>
      <c r="L61" s="55">
        <f>SUM(L31:L56)</f>
        <v>0.19098000000000004</v>
      </c>
    </row>
    <row r="62" spans="1:17" ht="14" x14ac:dyDescent="0.3">
      <c r="C62" s="28" t="s">
        <v>114</v>
      </c>
      <c r="D62" s="37"/>
      <c r="E62" s="37"/>
      <c r="G62" s="55"/>
      <c r="H62" s="55">
        <f>H57</f>
        <v>0.15772</v>
      </c>
      <c r="I62" s="55">
        <f>I57</f>
        <v>0.15772</v>
      </c>
      <c r="J62" s="55">
        <f>J57</f>
        <v>0.15772</v>
      </c>
      <c r="L62" s="55">
        <f>L57</f>
        <v>0.15772</v>
      </c>
    </row>
  </sheetData>
  <mergeCells count="7">
    <mergeCell ref="Z10:AA10"/>
    <mergeCell ref="D10:F10"/>
    <mergeCell ref="H10:J10"/>
    <mergeCell ref="L10:M10"/>
    <mergeCell ref="O10:Q10"/>
    <mergeCell ref="S10:T10"/>
    <mergeCell ref="V10:X10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061C5-2C7B-4F63-894F-EA0C62A94226}">
  <sheetPr>
    <tabColor theme="3" tint="0.59999389629810485"/>
    <pageSetUpPr fitToPage="1"/>
  </sheetPr>
  <dimension ref="A1:AA62"/>
  <sheetViews>
    <sheetView zoomScaleNormal="100" workbookViewId="0"/>
  </sheetViews>
  <sheetFormatPr defaultColWidth="8.7265625" defaultRowHeight="13" x14ac:dyDescent="0.3"/>
  <cols>
    <col min="1" max="1" width="4" style="58" bestFit="1" customWidth="1"/>
    <col min="2" max="2" width="5.54296875" style="58" bestFit="1" customWidth="1"/>
    <col min="3" max="6" width="12" style="58" customWidth="1"/>
    <col min="7" max="7" width="2" style="58" customWidth="1"/>
    <col min="8" max="10" width="12" style="58" customWidth="1"/>
    <col min="11" max="11" width="2" style="58" customWidth="1"/>
    <col min="12" max="13" width="12" style="58" customWidth="1"/>
    <col min="14" max="14" width="2" style="58" customWidth="1"/>
    <col min="15" max="17" width="12" style="58" customWidth="1"/>
    <col min="18" max="18" width="2" style="58" customWidth="1"/>
    <col min="19" max="20" width="12" style="58" customWidth="1"/>
    <col min="21" max="21" width="2" style="58" customWidth="1"/>
    <col min="22" max="24" width="12" style="58" customWidth="1"/>
    <col min="25" max="25" width="2" style="58" customWidth="1"/>
    <col min="26" max="27" width="12" style="58" customWidth="1"/>
    <col min="28" max="16384" width="8.7265625" style="58"/>
  </cols>
  <sheetData>
    <row r="1" spans="1:27" x14ac:dyDescent="0.3">
      <c r="A1" s="57">
        <v>1</v>
      </c>
    </row>
    <row r="2" spans="1:27" x14ac:dyDescent="0.3">
      <c r="A2" s="57">
        <f>A1+1</f>
        <v>2</v>
      </c>
    </row>
    <row r="3" spans="1:27" ht="14" x14ac:dyDescent="0.3">
      <c r="A3" s="57">
        <f t="shared" ref="A3:A58" si="0">A2+1</f>
        <v>3</v>
      </c>
      <c r="B3" s="24" t="s">
        <v>115</v>
      </c>
    </row>
    <row r="4" spans="1:27" ht="14" x14ac:dyDescent="0.3">
      <c r="A4" s="57">
        <f t="shared" si="0"/>
        <v>4</v>
      </c>
      <c r="B4" s="24" t="s">
        <v>41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</row>
    <row r="5" spans="1:27" ht="14" x14ac:dyDescent="0.3">
      <c r="A5" s="57">
        <f t="shared" si="0"/>
        <v>5</v>
      </c>
      <c r="B5" s="2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</row>
    <row r="6" spans="1:27" ht="14" x14ac:dyDescent="0.3">
      <c r="A6" s="57">
        <f t="shared" si="0"/>
        <v>6</v>
      </c>
      <c r="B6" s="24" t="s">
        <v>118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</row>
    <row r="7" spans="1:27" ht="14" x14ac:dyDescent="0.3">
      <c r="A7" s="57">
        <f t="shared" si="0"/>
        <v>7</v>
      </c>
      <c r="B7" s="57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2"/>
    </row>
    <row r="8" spans="1:27" ht="14" x14ac:dyDescent="0.3">
      <c r="A8" s="57">
        <f t="shared" si="0"/>
        <v>8</v>
      </c>
      <c r="B8" s="27"/>
      <c r="C8" s="28"/>
      <c r="D8" s="28"/>
      <c r="E8" s="28"/>
      <c r="F8" s="29"/>
      <c r="G8" s="28"/>
    </row>
    <row r="9" spans="1:27" ht="14" x14ac:dyDescent="0.3">
      <c r="A9" s="57">
        <f t="shared" si="0"/>
        <v>9</v>
      </c>
      <c r="B9" s="27"/>
      <c r="C9" s="28"/>
      <c r="D9" s="28"/>
      <c r="E9" s="28"/>
      <c r="F9" s="30"/>
      <c r="G9" s="28"/>
    </row>
    <row r="10" spans="1:27" ht="14" x14ac:dyDescent="0.3">
      <c r="A10" s="57">
        <f t="shared" si="0"/>
        <v>10</v>
      </c>
      <c r="B10" s="31"/>
      <c r="C10" s="27" t="s">
        <v>2</v>
      </c>
      <c r="D10" s="32" t="str">
        <f>'EMA R1'!D10</f>
        <v>2024 Monthly Bill</v>
      </c>
      <c r="E10" s="32"/>
      <c r="F10" s="32"/>
      <c r="G10" s="33"/>
      <c r="H10" s="32" t="str">
        <f>'EMA R1'!H10</f>
        <v>2025 Illustrative Monthly Bill</v>
      </c>
      <c r="I10" s="32"/>
      <c r="J10" s="32"/>
      <c r="K10" s="23"/>
      <c r="L10" s="32" t="str">
        <f>'EMA R1'!L10</f>
        <v>2025 vs. 2024</v>
      </c>
      <c r="M10" s="32"/>
      <c r="N10" s="27"/>
      <c r="O10" s="32" t="str">
        <f>'EMA R1'!O10</f>
        <v>2026 Illustrative Monthly Bill</v>
      </c>
      <c r="P10" s="32"/>
      <c r="Q10" s="32"/>
      <c r="R10" s="33"/>
      <c r="S10" s="32" t="str">
        <f>'EMA R1'!S10</f>
        <v>2026 vs. 2025</v>
      </c>
      <c r="T10" s="32"/>
      <c r="U10" s="23"/>
      <c r="V10" s="32" t="str">
        <f>'EMA R1'!V10</f>
        <v>2027 Illustrative Monthly Bill</v>
      </c>
      <c r="W10" s="32"/>
      <c r="X10" s="32"/>
      <c r="Y10" s="33"/>
      <c r="Z10" s="32" t="str">
        <f>'EMA R1'!Z10</f>
        <v>2027 vs. 2026</v>
      </c>
      <c r="AA10" s="32"/>
    </row>
    <row r="11" spans="1:27" ht="14" x14ac:dyDescent="0.3">
      <c r="A11" s="57">
        <f t="shared" si="0"/>
        <v>11</v>
      </c>
      <c r="B11" s="31"/>
      <c r="C11" s="34" t="s">
        <v>47</v>
      </c>
      <c r="D11" s="34" t="s">
        <v>48</v>
      </c>
      <c r="E11" s="34" t="s">
        <v>49</v>
      </c>
      <c r="F11" s="34" t="s">
        <v>50</v>
      </c>
      <c r="G11" s="34"/>
      <c r="H11" s="34" t="s">
        <v>48</v>
      </c>
      <c r="I11" s="34" t="s">
        <v>49</v>
      </c>
      <c r="J11" s="34" t="s">
        <v>50</v>
      </c>
      <c r="K11" s="23"/>
      <c r="L11" s="34" t="s">
        <v>51</v>
      </c>
      <c r="M11" s="34" t="s">
        <v>14</v>
      </c>
      <c r="N11" s="34"/>
      <c r="O11" s="34" t="s">
        <v>48</v>
      </c>
      <c r="P11" s="34" t="s">
        <v>49</v>
      </c>
      <c r="Q11" s="34" t="s">
        <v>50</v>
      </c>
      <c r="R11" s="34"/>
      <c r="S11" s="34" t="s">
        <v>51</v>
      </c>
      <c r="T11" s="34" t="s">
        <v>14</v>
      </c>
      <c r="U11" s="23"/>
      <c r="V11" s="34" t="s">
        <v>48</v>
      </c>
      <c r="W11" s="34" t="s">
        <v>49</v>
      </c>
      <c r="X11" s="34" t="s">
        <v>50</v>
      </c>
      <c r="Y11" s="34"/>
      <c r="Z11" s="34" t="s">
        <v>51</v>
      </c>
      <c r="AA11" s="34" t="s">
        <v>14</v>
      </c>
    </row>
    <row r="12" spans="1:27" ht="14" x14ac:dyDescent="0.3">
      <c r="A12" s="57">
        <f t="shared" si="0"/>
        <v>12</v>
      </c>
      <c r="B12" s="31"/>
      <c r="C12" s="35">
        <v>100</v>
      </c>
      <c r="D12" s="36">
        <f>ROUND(($C12*SUM($H$31:$H$56)+$H$30)*(1-$H$58),2)</f>
        <v>15.99</v>
      </c>
      <c r="E12" s="36">
        <f>ROUND(($H$57*C12)*(1-$H$58),2)</f>
        <v>8.1300000000000008</v>
      </c>
      <c r="F12" s="36">
        <f>SUM(D12:E12)</f>
        <v>24.12</v>
      </c>
      <c r="G12" s="36"/>
      <c r="H12" s="36">
        <f>ROUND(($C12*SUM($I$31:$I$56)+$I$30)*(1-$I$58),2)</f>
        <v>16.48</v>
      </c>
      <c r="I12" s="36">
        <f>ROUND(($I$57*C12)*(1-$I$58),2)</f>
        <v>8.1300000000000008</v>
      </c>
      <c r="J12" s="36">
        <f>SUM(H12:I12)</f>
        <v>24.61</v>
      </c>
      <c r="K12" s="37"/>
      <c r="L12" s="36">
        <f>+J12-F12</f>
        <v>0.48999999999999844</v>
      </c>
      <c r="M12" s="38">
        <f>+L12/F12</f>
        <v>2.0315091210613534E-2</v>
      </c>
      <c r="N12" s="38"/>
      <c r="O12" s="36">
        <f>ROUND(($C12*SUM($J$31:$J$56)+$J$30)*(1-$J$58),2)</f>
        <v>16.62</v>
      </c>
      <c r="P12" s="36">
        <f>ROUND(($J$57*C12)*(1-$J$58),2)</f>
        <v>8.1300000000000008</v>
      </c>
      <c r="Q12" s="36">
        <f>SUM(O12:P12)</f>
        <v>24.75</v>
      </c>
      <c r="R12" s="36"/>
      <c r="S12" s="36">
        <f>+Q12-J12</f>
        <v>0.14000000000000057</v>
      </c>
      <c r="T12" s="38">
        <f>+S12/J12</f>
        <v>5.6887444128403322E-3</v>
      </c>
      <c r="U12" s="23"/>
      <c r="V12" s="36">
        <f>ROUND(($C12*SUM($L$31:$L$56)+$L$30)*(1-$L$58),2)</f>
        <v>16.88</v>
      </c>
      <c r="W12" s="36">
        <f>ROUND(($L$57*C12)*(1-$L$58),2)</f>
        <v>8.1300000000000008</v>
      </c>
      <c r="X12" s="36">
        <f>SUM(V12:W12)</f>
        <v>25.009999999999998</v>
      </c>
      <c r="Y12" s="36"/>
      <c r="Z12" s="36">
        <f>X12-Q12</f>
        <v>0.25999999999999801</v>
      </c>
      <c r="AA12" s="38">
        <f>+Z12/Q12</f>
        <v>1.0505050505050425E-2</v>
      </c>
    </row>
    <row r="13" spans="1:27" ht="14" x14ac:dyDescent="0.3">
      <c r="A13" s="57">
        <f t="shared" si="0"/>
        <v>13</v>
      </c>
      <c r="B13" s="31"/>
      <c r="C13" s="35">
        <v>200</v>
      </c>
      <c r="D13" s="36">
        <f>ROUND(($C13*SUM($H$31:$H$56)+$H$30)*(1-$H$58),2)</f>
        <v>26.17</v>
      </c>
      <c r="E13" s="36">
        <f t="shared" ref="E13:E25" si="1">ROUND(($H$57*C13)*(1-$H$58),2)</f>
        <v>16.27</v>
      </c>
      <c r="F13" s="36">
        <f t="shared" ref="F13:F25" si="2">SUM(D13:E13)</f>
        <v>42.44</v>
      </c>
      <c r="G13" s="36"/>
      <c r="H13" s="36">
        <f t="shared" ref="H13:H25" si="3">ROUND(($C13*SUM($I$31:$I$56)+$I$30)*(1-$I$58),2)</f>
        <v>27.17</v>
      </c>
      <c r="I13" s="36">
        <f t="shared" ref="I13:I25" si="4">ROUND(($I$57*C13)*(1-$I$58),2)</f>
        <v>16.27</v>
      </c>
      <c r="J13" s="36">
        <f t="shared" ref="J13:J25" si="5">SUM(H13:I13)</f>
        <v>43.44</v>
      </c>
      <c r="K13" s="37"/>
      <c r="L13" s="36">
        <f>+J13-F13</f>
        <v>1</v>
      </c>
      <c r="M13" s="38">
        <f t="shared" ref="M13:M25" si="6">+L13/F13</f>
        <v>2.3562676720075403E-2</v>
      </c>
      <c r="N13" s="38"/>
      <c r="O13" s="36">
        <f t="shared" ref="O13:O25" si="7">ROUND(($C13*SUM($J$31:$J$56)+$J$30)*(1-$J$58),2)</f>
        <v>27.43</v>
      </c>
      <c r="P13" s="36">
        <f t="shared" ref="P13:P25" si="8">ROUND(($J$57*C13)*(1-$J$58),2)</f>
        <v>16.27</v>
      </c>
      <c r="Q13" s="36">
        <f t="shared" ref="Q13:Q25" si="9">SUM(O13:P13)</f>
        <v>43.7</v>
      </c>
      <c r="R13" s="36"/>
      <c r="S13" s="36">
        <f t="shared" ref="S13:S25" si="10">+Q13-J13</f>
        <v>0.26000000000000512</v>
      </c>
      <c r="T13" s="38">
        <f>+S13/J13</f>
        <v>5.9852670349909102E-3</v>
      </c>
      <c r="U13" s="23"/>
      <c r="V13" s="36">
        <f t="shared" ref="V13:V25" si="11">ROUND(($C13*SUM($L$31:$L$56)+$L$30)*(1-$L$58),2)</f>
        <v>27.95</v>
      </c>
      <c r="W13" s="36">
        <f t="shared" ref="W13:W25" si="12">ROUND(($L$57*C13)*(1-$L$58),2)</f>
        <v>16.27</v>
      </c>
      <c r="X13" s="36">
        <f t="shared" ref="X13:X25" si="13">SUM(V13:W13)</f>
        <v>44.22</v>
      </c>
      <c r="Y13" s="36"/>
      <c r="Z13" s="36">
        <f t="shared" ref="Z13:Z25" si="14">X13-Q13</f>
        <v>0.51999999999999602</v>
      </c>
      <c r="AA13" s="38">
        <f t="shared" ref="AA13:AA25" si="15">+Z13/Q13</f>
        <v>1.1899313501144072E-2</v>
      </c>
    </row>
    <row r="14" spans="1:27" ht="14" x14ac:dyDescent="0.3">
      <c r="A14" s="57">
        <f t="shared" si="0"/>
        <v>14</v>
      </c>
      <c r="B14" s="31"/>
      <c r="C14" s="35">
        <v>300</v>
      </c>
      <c r="D14" s="36">
        <f>ROUND(($C14*SUM($H$31:$H$56)+$H$30)*(1-$H$58),2)</f>
        <v>36.36</v>
      </c>
      <c r="E14" s="36">
        <f t="shared" si="1"/>
        <v>24.4</v>
      </c>
      <c r="F14" s="36">
        <f t="shared" si="2"/>
        <v>60.76</v>
      </c>
      <c r="G14" s="36"/>
      <c r="H14" s="36">
        <f>ROUND(($C14*SUM($I$31:$I$56)+$I$30)*(1-$I$58),2)</f>
        <v>37.85</v>
      </c>
      <c r="I14" s="36">
        <f t="shared" si="4"/>
        <v>24.4</v>
      </c>
      <c r="J14" s="36">
        <f t="shared" si="5"/>
        <v>62.25</v>
      </c>
      <c r="K14" s="37"/>
      <c r="L14" s="36">
        <f t="shared" ref="L14:L25" si="16">+J14-F14</f>
        <v>1.490000000000002</v>
      </c>
      <c r="M14" s="38">
        <f t="shared" si="6"/>
        <v>2.4522712310730777E-2</v>
      </c>
      <c r="N14" s="38"/>
      <c r="O14" s="36">
        <f t="shared" si="7"/>
        <v>38.25</v>
      </c>
      <c r="P14" s="36">
        <f t="shared" si="8"/>
        <v>24.4</v>
      </c>
      <c r="Q14" s="36">
        <f t="shared" si="9"/>
        <v>62.65</v>
      </c>
      <c r="R14" s="36"/>
      <c r="S14" s="36">
        <f t="shared" si="10"/>
        <v>0.39999999999999858</v>
      </c>
      <c r="T14" s="38">
        <f t="shared" ref="T14:T25" si="17">+S14/J14</f>
        <v>6.4257028112449568E-3</v>
      </c>
      <c r="U14" s="23"/>
      <c r="V14" s="36">
        <f>ROUND(($C14*SUM($L$31:$L$56)+$L$30)*(1-$L$58),2)</f>
        <v>39.03</v>
      </c>
      <c r="W14" s="36">
        <f t="shared" si="12"/>
        <v>24.4</v>
      </c>
      <c r="X14" s="36">
        <f t="shared" si="13"/>
        <v>63.43</v>
      </c>
      <c r="Y14" s="36"/>
      <c r="Z14" s="36">
        <f t="shared" si="14"/>
        <v>0.78000000000000114</v>
      </c>
      <c r="AA14" s="38">
        <f t="shared" si="15"/>
        <v>1.2450119712689563E-2</v>
      </c>
    </row>
    <row r="15" spans="1:27" ht="14" x14ac:dyDescent="0.3">
      <c r="A15" s="57">
        <f t="shared" si="0"/>
        <v>15</v>
      </c>
      <c r="B15" s="31"/>
      <c r="C15" s="35">
        <v>400</v>
      </c>
      <c r="D15" s="36">
        <f t="shared" ref="D15:D25" si="18">ROUND(($C15*SUM($H$31:$H$56)+$H$30)*(1-$H$58),2)</f>
        <v>46.54</v>
      </c>
      <c r="E15" s="36">
        <f t="shared" si="1"/>
        <v>32.53</v>
      </c>
      <c r="F15" s="36">
        <f t="shared" si="2"/>
        <v>79.069999999999993</v>
      </c>
      <c r="G15" s="36"/>
      <c r="H15" s="36">
        <f t="shared" si="3"/>
        <v>48.53</v>
      </c>
      <c r="I15" s="36">
        <f t="shared" si="4"/>
        <v>32.53</v>
      </c>
      <c r="J15" s="36">
        <f t="shared" si="5"/>
        <v>81.06</v>
      </c>
      <c r="K15" s="37"/>
      <c r="L15" s="36">
        <f t="shared" si="16"/>
        <v>1.9900000000000091</v>
      </c>
      <c r="M15" s="38">
        <f t="shared" si="6"/>
        <v>2.5167573036550008E-2</v>
      </c>
      <c r="N15" s="38"/>
      <c r="O15" s="36">
        <f>ROUND(($C15*SUM($J$31:$J$56)+$J$30)*(1-$J$58),2)</f>
        <v>49.07</v>
      </c>
      <c r="P15" s="36">
        <f t="shared" si="8"/>
        <v>32.53</v>
      </c>
      <c r="Q15" s="36">
        <f t="shared" si="9"/>
        <v>81.599999999999994</v>
      </c>
      <c r="R15" s="36"/>
      <c r="S15" s="36">
        <f t="shared" si="10"/>
        <v>0.53999999999999204</v>
      </c>
      <c r="T15" s="38">
        <f t="shared" si="17"/>
        <v>6.6617320503329878E-3</v>
      </c>
      <c r="U15" s="23"/>
      <c r="V15" s="36">
        <f t="shared" si="11"/>
        <v>50.11</v>
      </c>
      <c r="W15" s="36">
        <f t="shared" si="12"/>
        <v>32.53</v>
      </c>
      <c r="X15" s="36">
        <f t="shared" si="13"/>
        <v>82.64</v>
      </c>
      <c r="Y15" s="36"/>
      <c r="Z15" s="36">
        <f t="shared" si="14"/>
        <v>1.0400000000000063</v>
      </c>
      <c r="AA15" s="38">
        <f t="shared" si="15"/>
        <v>1.2745098039215764E-2</v>
      </c>
    </row>
    <row r="16" spans="1:27" ht="14" x14ac:dyDescent="0.3">
      <c r="A16" s="57">
        <f t="shared" si="0"/>
        <v>16</v>
      </c>
      <c r="B16" s="31"/>
      <c r="C16" s="35">
        <v>500</v>
      </c>
      <c r="D16" s="36">
        <f t="shared" si="18"/>
        <v>56.73</v>
      </c>
      <c r="E16" s="36">
        <f t="shared" si="1"/>
        <v>40.67</v>
      </c>
      <c r="F16" s="36">
        <f t="shared" si="2"/>
        <v>97.4</v>
      </c>
      <c r="G16" s="36"/>
      <c r="H16" s="36">
        <f t="shared" si="3"/>
        <v>59.22</v>
      </c>
      <c r="I16" s="36">
        <f t="shared" si="4"/>
        <v>40.67</v>
      </c>
      <c r="J16" s="36">
        <f t="shared" si="5"/>
        <v>99.89</v>
      </c>
      <c r="K16" s="37"/>
      <c r="L16" s="36">
        <f t="shared" si="16"/>
        <v>2.4899999999999949</v>
      </c>
      <c r="M16" s="38">
        <f t="shared" si="6"/>
        <v>2.5564681724845943E-2</v>
      </c>
      <c r="N16" s="38"/>
      <c r="O16" s="36">
        <f t="shared" si="7"/>
        <v>59.89</v>
      </c>
      <c r="P16" s="36">
        <f t="shared" si="8"/>
        <v>40.67</v>
      </c>
      <c r="Q16" s="36">
        <f t="shared" si="9"/>
        <v>100.56</v>
      </c>
      <c r="R16" s="36"/>
      <c r="S16" s="36">
        <f t="shared" si="10"/>
        <v>0.67000000000000171</v>
      </c>
      <c r="T16" s="38">
        <f t="shared" si="17"/>
        <v>6.7073781159275375E-3</v>
      </c>
      <c r="U16" s="23"/>
      <c r="V16" s="36">
        <f t="shared" si="11"/>
        <v>61.18</v>
      </c>
      <c r="W16" s="36">
        <f t="shared" si="12"/>
        <v>40.67</v>
      </c>
      <c r="X16" s="36">
        <f t="shared" si="13"/>
        <v>101.85</v>
      </c>
      <c r="Y16" s="36"/>
      <c r="Z16" s="36">
        <f t="shared" si="14"/>
        <v>1.289999999999992</v>
      </c>
      <c r="AA16" s="38">
        <f t="shared" si="15"/>
        <v>1.2828162291169372E-2</v>
      </c>
    </row>
    <row r="17" spans="1:27" ht="14" x14ac:dyDescent="0.3">
      <c r="A17" s="57">
        <f t="shared" si="0"/>
        <v>17</v>
      </c>
      <c r="B17" s="31"/>
      <c r="C17" s="35">
        <v>600</v>
      </c>
      <c r="D17" s="36">
        <f t="shared" si="18"/>
        <v>66.92</v>
      </c>
      <c r="E17" s="36">
        <f>ROUND(($H$57*C17)*(1-$H$58),2)</f>
        <v>48.8</v>
      </c>
      <c r="F17" s="36">
        <f t="shared" si="2"/>
        <v>115.72</v>
      </c>
      <c r="G17" s="36"/>
      <c r="H17" s="36">
        <f t="shared" si="3"/>
        <v>69.900000000000006</v>
      </c>
      <c r="I17" s="36">
        <f t="shared" si="4"/>
        <v>48.8</v>
      </c>
      <c r="J17" s="36">
        <f t="shared" si="5"/>
        <v>118.7</v>
      </c>
      <c r="K17" s="37"/>
      <c r="L17" s="36">
        <f t="shared" si="16"/>
        <v>2.980000000000004</v>
      </c>
      <c r="M17" s="38">
        <f t="shared" si="6"/>
        <v>2.5751814725198791E-2</v>
      </c>
      <c r="N17" s="38"/>
      <c r="O17" s="36">
        <f t="shared" si="7"/>
        <v>70.7</v>
      </c>
      <c r="P17" s="36">
        <f t="shared" si="8"/>
        <v>48.8</v>
      </c>
      <c r="Q17" s="36">
        <f>SUM(O17:P17)</f>
        <v>119.5</v>
      </c>
      <c r="R17" s="36"/>
      <c r="S17" s="36">
        <f t="shared" si="10"/>
        <v>0.79999999999999716</v>
      </c>
      <c r="T17" s="38">
        <f t="shared" si="17"/>
        <v>6.7396798652063789E-3</v>
      </c>
      <c r="U17" s="23"/>
      <c r="V17" s="36">
        <f t="shared" si="11"/>
        <v>72.260000000000005</v>
      </c>
      <c r="W17" s="36">
        <f t="shared" si="12"/>
        <v>48.8</v>
      </c>
      <c r="X17" s="36">
        <f t="shared" si="13"/>
        <v>121.06</v>
      </c>
      <c r="Y17" s="36"/>
      <c r="Z17" s="36">
        <f t="shared" si="14"/>
        <v>1.5600000000000023</v>
      </c>
      <c r="AA17" s="38">
        <f t="shared" si="15"/>
        <v>1.305439330543935E-2</v>
      </c>
    </row>
    <row r="18" spans="1:27" ht="14" x14ac:dyDescent="0.3">
      <c r="A18" s="57">
        <f t="shared" si="0"/>
        <v>18</v>
      </c>
      <c r="B18" s="31"/>
      <c r="C18" s="35">
        <v>700</v>
      </c>
      <c r="D18" s="36">
        <f t="shared" si="18"/>
        <v>77.099999999999994</v>
      </c>
      <c r="E18" s="36">
        <f t="shared" si="1"/>
        <v>56.93</v>
      </c>
      <c r="F18" s="36">
        <f t="shared" si="2"/>
        <v>134.03</v>
      </c>
      <c r="G18" s="36"/>
      <c r="H18" s="36">
        <f t="shared" si="3"/>
        <v>80.58</v>
      </c>
      <c r="I18" s="36">
        <f t="shared" si="4"/>
        <v>56.93</v>
      </c>
      <c r="J18" s="36">
        <f t="shared" si="5"/>
        <v>137.51</v>
      </c>
      <c r="K18" s="37"/>
      <c r="L18" s="36">
        <f t="shared" si="16"/>
        <v>3.4799999999999898</v>
      </c>
      <c r="M18" s="38">
        <f t="shared" si="6"/>
        <v>2.5964336342609785E-2</v>
      </c>
      <c r="N18" s="38"/>
      <c r="O18" s="36">
        <f t="shared" si="7"/>
        <v>81.52</v>
      </c>
      <c r="P18" s="36">
        <f t="shared" si="8"/>
        <v>56.93</v>
      </c>
      <c r="Q18" s="36">
        <f t="shared" si="9"/>
        <v>138.44999999999999</v>
      </c>
      <c r="R18" s="36"/>
      <c r="S18" s="36">
        <f t="shared" si="10"/>
        <v>0.93999999999999773</v>
      </c>
      <c r="T18" s="38">
        <f t="shared" si="17"/>
        <v>6.8358664824376249E-3</v>
      </c>
      <c r="U18" s="23"/>
      <c r="V18" s="36">
        <f t="shared" si="11"/>
        <v>83.34</v>
      </c>
      <c r="W18" s="36">
        <f>ROUND(($L$57*C18)*(1-$L$58),2)</f>
        <v>56.93</v>
      </c>
      <c r="X18" s="36">
        <f t="shared" si="13"/>
        <v>140.27000000000001</v>
      </c>
      <c r="Y18" s="36"/>
      <c r="Z18" s="36">
        <f t="shared" si="14"/>
        <v>1.8200000000000216</v>
      </c>
      <c r="AA18" s="38">
        <f t="shared" si="15"/>
        <v>1.3145539906103444E-2</v>
      </c>
    </row>
    <row r="19" spans="1:27" ht="14" x14ac:dyDescent="0.3">
      <c r="A19" s="57">
        <f t="shared" si="0"/>
        <v>19</v>
      </c>
      <c r="B19" s="31"/>
      <c r="C19" s="35">
        <v>800</v>
      </c>
      <c r="D19" s="36">
        <f t="shared" si="18"/>
        <v>87.29</v>
      </c>
      <c r="E19" s="36">
        <f t="shared" si="1"/>
        <v>65.069999999999993</v>
      </c>
      <c r="F19" s="36">
        <f t="shared" si="2"/>
        <v>152.36000000000001</v>
      </c>
      <c r="G19" s="36"/>
      <c r="H19" s="36">
        <f t="shared" si="3"/>
        <v>91.26</v>
      </c>
      <c r="I19" s="36">
        <f t="shared" si="4"/>
        <v>65.069999999999993</v>
      </c>
      <c r="J19" s="36">
        <f t="shared" si="5"/>
        <v>156.32999999999998</v>
      </c>
      <c r="K19" s="37"/>
      <c r="L19" s="36">
        <f t="shared" si="16"/>
        <v>3.9699999999999704</v>
      </c>
      <c r="M19" s="38">
        <f t="shared" si="6"/>
        <v>2.6056707797321936E-2</v>
      </c>
      <c r="N19" s="38"/>
      <c r="O19" s="36">
        <f t="shared" si="7"/>
        <v>92.34</v>
      </c>
      <c r="P19" s="36">
        <f>ROUND(($J$57*C19)*(1-$J$58),2)</f>
        <v>65.069999999999993</v>
      </c>
      <c r="Q19" s="36">
        <f t="shared" si="9"/>
        <v>157.41</v>
      </c>
      <c r="R19" s="36"/>
      <c r="S19" s="36">
        <f>+Q19-J19</f>
        <v>1.0800000000000125</v>
      </c>
      <c r="T19" s="38">
        <f t="shared" si="17"/>
        <v>6.9084628670121702E-3</v>
      </c>
      <c r="U19" s="23"/>
      <c r="V19" s="36">
        <f t="shared" si="11"/>
        <v>94.41</v>
      </c>
      <c r="W19" s="36">
        <f t="shared" si="12"/>
        <v>65.069999999999993</v>
      </c>
      <c r="X19" s="36">
        <f t="shared" si="13"/>
        <v>159.47999999999999</v>
      </c>
      <c r="Y19" s="36"/>
      <c r="Z19" s="36">
        <f t="shared" si="14"/>
        <v>2.0699999999999932</v>
      </c>
      <c r="AA19" s="38">
        <f t="shared" si="15"/>
        <v>1.3150371640937636E-2</v>
      </c>
    </row>
    <row r="20" spans="1:27" ht="14" x14ac:dyDescent="0.3">
      <c r="A20" s="57">
        <f t="shared" si="0"/>
        <v>20</v>
      </c>
      <c r="B20" s="31"/>
      <c r="C20" s="35">
        <v>900</v>
      </c>
      <c r="D20" s="36">
        <f t="shared" si="18"/>
        <v>97.47</v>
      </c>
      <c r="E20" s="36">
        <f t="shared" si="1"/>
        <v>73.2</v>
      </c>
      <c r="F20" s="36">
        <f t="shared" si="2"/>
        <v>170.67000000000002</v>
      </c>
      <c r="G20" s="36"/>
      <c r="H20" s="36">
        <f t="shared" si="3"/>
        <v>101.95</v>
      </c>
      <c r="I20" s="36">
        <f>ROUND(($I$57*C20)*(1-$I$58),2)</f>
        <v>73.2</v>
      </c>
      <c r="J20" s="36">
        <f t="shared" si="5"/>
        <v>175.15</v>
      </c>
      <c r="K20" s="37"/>
      <c r="L20" s="36">
        <f t="shared" si="16"/>
        <v>4.4799999999999898</v>
      </c>
      <c r="M20" s="38">
        <f t="shared" si="6"/>
        <v>2.6249487314700823E-2</v>
      </c>
      <c r="N20" s="38"/>
      <c r="O20" s="36">
        <f t="shared" si="7"/>
        <v>103.15</v>
      </c>
      <c r="P20" s="36">
        <f t="shared" si="8"/>
        <v>73.2</v>
      </c>
      <c r="Q20" s="36">
        <f t="shared" si="9"/>
        <v>176.35000000000002</v>
      </c>
      <c r="R20" s="36"/>
      <c r="S20" s="36">
        <f t="shared" si="10"/>
        <v>1.2000000000000171</v>
      </c>
      <c r="T20" s="38">
        <f t="shared" si="17"/>
        <v>6.8512703397089186E-3</v>
      </c>
      <c r="U20" s="23"/>
      <c r="V20" s="36">
        <f t="shared" si="11"/>
        <v>105.49</v>
      </c>
      <c r="W20" s="36">
        <f t="shared" si="12"/>
        <v>73.2</v>
      </c>
      <c r="X20" s="36">
        <f t="shared" si="13"/>
        <v>178.69</v>
      </c>
      <c r="Y20" s="36"/>
      <c r="Z20" s="36">
        <f t="shared" si="14"/>
        <v>2.339999999999975</v>
      </c>
      <c r="AA20" s="38">
        <f t="shared" si="15"/>
        <v>1.3269067195917066E-2</v>
      </c>
    </row>
    <row r="21" spans="1:27" ht="14" x14ac:dyDescent="0.3">
      <c r="A21" s="57">
        <f t="shared" si="0"/>
        <v>21</v>
      </c>
      <c r="B21" s="31"/>
      <c r="C21" s="35">
        <v>1000</v>
      </c>
      <c r="D21" s="36">
        <f t="shared" si="18"/>
        <v>107.66</v>
      </c>
      <c r="E21" s="36">
        <f t="shared" si="1"/>
        <v>81.33</v>
      </c>
      <c r="F21" s="36">
        <f t="shared" si="2"/>
        <v>188.99</v>
      </c>
      <c r="G21" s="36"/>
      <c r="H21" s="36">
        <f t="shared" si="3"/>
        <v>112.63</v>
      </c>
      <c r="I21" s="36">
        <f t="shared" si="4"/>
        <v>81.33</v>
      </c>
      <c r="J21" s="36">
        <f t="shared" si="5"/>
        <v>193.95999999999998</v>
      </c>
      <c r="K21" s="37"/>
      <c r="L21" s="36">
        <f t="shared" si="16"/>
        <v>4.9699999999999704</v>
      </c>
      <c r="M21" s="38">
        <f t="shared" si="6"/>
        <v>2.6297687708344199E-2</v>
      </c>
      <c r="N21" s="38"/>
      <c r="O21" s="36">
        <f t="shared" si="7"/>
        <v>113.97</v>
      </c>
      <c r="P21" s="36">
        <f t="shared" si="8"/>
        <v>81.33</v>
      </c>
      <c r="Q21" s="36">
        <f t="shared" si="9"/>
        <v>195.3</v>
      </c>
      <c r="R21" s="36"/>
      <c r="S21" s="36">
        <f t="shared" si="10"/>
        <v>1.3400000000000318</v>
      </c>
      <c r="T21" s="38">
        <f t="shared" si="17"/>
        <v>6.9086409568984942E-3</v>
      </c>
      <c r="U21" s="23"/>
      <c r="V21" s="36">
        <f t="shared" si="11"/>
        <v>116.57</v>
      </c>
      <c r="W21" s="36">
        <f t="shared" si="12"/>
        <v>81.33</v>
      </c>
      <c r="X21" s="36">
        <f t="shared" si="13"/>
        <v>197.89999999999998</v>
      </c>
      <c r="Y21" s="36"/>
      <c r="Z21" s="36">
        <f t="shared" si="14"/>
        <v>2.5999999999999659</v>
      </c>
      <c r="AA21" s="38">
        <f t="shared" si="15"/>
        <v>1.3312852022529267E-2</v>
      </c>
    </row>
    <row r="22" spans="1:27" ht="14" x14ac:dyDescent="0.3">
      <c r="A22" s="57">
        <f t="shared" si="0"/>
        <v>22</v>
      </c>
      <c r="B22" s="31"/>
      <c r="C22" s="35">
        <v>1250</v>
      </c>
      <c r="D22" s="36">
        <f t="shared" si="18"/>
        <v>133.12</v>
      </c>
      <c r="E22" s="36">
        <f t="shared" si="1"/>
        <v>101.67</v>
      </c>
      <c r="F22" s="36">
        <f t="shared" si="2"/>
        <v>234.79000000000002</v>
      </c>
      <c r="G22" s="36"/>
      <c r="H22" s="36">
        <f t="shared" si="3"/>
        <v>139.34</v>
      </c>
      <c r="I22" s="36">
        <f t="shared" si="4"/>
        <v>101.67</v>
      </c>
      <c r="J22" s="36">
        <f t="shared" si="5"/>
        <v>241.01</v>
      </c>
      <c r="K22" s="37"/>
      <c r="L22" s="36">
        <f t="shared" si="16"/>
        <v>6.2199999999999704</v>
      </c>
      <c r="M22" s="38">
        <f t="shared" si="6"/>
        <v>2.6491758592784912E-2</v>
      </c>
      <c r="N22" s="38"/>
      <c r="O22" s="36">
        <f t="shared" si="7"/>
        <v>141.01</v>
      </c>
      <c r="P22" s="36">
        <f t="shared" si="8"/>
        <v>101.67</v>
      </c>
      <c r="Q22" s="36">
        <f t="shared" si="9"/>
        <v>242.68</v>
      </c>
      <c r="R22" s="36"/>
      <c r="S22" s="36">
        <f t="shared" si="10"/>
        <v>1.6700000000000159</v>
      </c>
      <c r="T22" s="38">
        <f t="shared" si="17"/>
        <v>6.9291730633584334E-3</v>
      </c>
      <c r="U22" s="23"/>
      <c r="V22" s="36">
        <f t="shared" si="11"/>
        <v>144.26</v>
      </c>
      <c r="W22" s="36">
        <f t="shared" si="12"/>
        <v>101.67</v>
      </c>
      <c r="X22" s="36">
        <f t="shared" si="13"/>
        <v>245.93</v>
      </c>
      <c r="Y22" s="36"/>
      <c r="Z22" s="36">
        <f t="shared" si="14"/>
        <v>3.25</v>
      </c>
      <c r="AA22" s="38">
        <f t="shared" si="15"/>
        <v>1.3392121312015823E-2</v>
      </c>
    </row>
    <row r="23" spans="1:27" ht="14" x14ac:dyDescent="0.3">
      <c r="A23" s="57">
        <f t="shared" si="0"/>
        <v>23</v>
      </c>
      <c r="B23" s="31"/>
      <c r="C23" s="35">
        <v>1500</v>
      </c>
      <c r="D23" s="36">
        <f t="shared" si="18"/>
        <v>158.59</v>
      </c>
      <c r="E23" s="36">
        <f t="shared" si="1"/>
        <v>122</v>
      </c>
      <c r="F23" s="36">
        <f t="shared" si="2"/>
        <v>280.59000000000003</v>
      </c>
      <c r="G23" s="36"/>
      <c r="H23" s="36">
        <f t="shared" si="3"/>
        <v>166.05</v>
      </c>
      <c r="I23" s="36">
        <f t="shared" si="4"/>
        <v>122</v>
      </c>
      <c r="J23" s="36">
        <f t="shared" si="5"/>
        <v>288.05</v>
      </c>
      <c r="K23" s="37"/>
      <c r="L23" s="36">
        <f t="shared" si="16"/>
        <v>7.4599999999999795</v>
      </c>
      <c r="M23" s="38">
        <f t="shared" si="6"/>
        <v>2.6586834883637972E-2</v>
      </c>
      <c r="N23" s="38"/>
      <c r="O23" s="36">
        <f t="shared" si="7"/>
        <v>168.06</v>
      </c>
      <c r="P23" s="36">
        <f t="shared" si="8"/>
        <v>122</v>
      </c>
      <c r="Q23" s="36">
        <f t="shared" si="9"/>
        <v>290.06</v>
      </c>
      <c r="R23" s="36"/>
      <c r="S23" s="36">
        <f t="shared" si="10"/>
        <v>2.0099999999999909</v>
      </c>
      <c r="T23" s="38">
        <f t="shared" si="17"/>
        <v>6.9779552161082824E-3</v>
      </c>
      <c r="U23" s="23"/>
      <c r="V23" s="36">
        <f t="shared" si="11"/>
        <v>171.95</v>
      </c>
      <c r="W23" s="36">
        <f t="shared" si="12"/>
        <v>122</v>
      </c>
      <c r="X23" s="36">
        <f t="shared" si="13"/>
        <v>293.95</v>
      </c>
      <c r="Y23" s="36"/>
      <c r="Z23" s="36">
        <f t="shared" si="14"/>
        <v>3.8899999999999864</v>
      </c>
      <c r="AA23" s="38">
        <f t="shared" si="15"/>
        <v>1.3411018409984094E-2</v>
      </c>
    </row>
    <row r="24" spans="1:27" ht="14" x14ac:dyDescent="0.3">
      <c r="A24" s="57">
        <f t="shared" si="0"/>
        <v>24</v>
      </c>
      <c r="B24" s="31"/>
      <c r="C24" s="35">
        <v>2000</v>
      </c>
      <c r="D24" s="36">
        <f t="shared" si="18"/>
        <v>209.52</v>
      </c>
      <c r="E24" s="36">
        <f t="shared" si="1"/>
        <v>162.66999999999999</v>
      </c>
      <c r="F24" s="36">
        <f t="shared" si="2"/>
        <v>372.19</v>
      </c>
      <c r="G24" s="36"/>
      <c r="H24" s="36">
        <f t="shared" si="3"/>
        <v>219.46</v>
      </c>
      <c r="I24" s="36">
        <f t="shared" si="4"/>
        <v>162.66999999999999</v>
      </c>
      <c r="J24" s="36">
        <f t="shared" si="5"/>
        <v>382.13</v>
      </c>
      <c r="K24" s="37"/>
      <c r="L24" s="36">
        <f t="shared" si="16"/>
        <v>9.9399999999999977</v>
      </c>
      <c r="M24" s="38">
        <f t="shared" si="6"/>
        <v>2.6706789542975357E-2</v>
      </c>
      <c r="N24" s="38"/>
      <c r="O24" s="36">
        <f t="shared" si="7"/>
        <v>222.14</v>
      </c>
      <c r="P24" s="36">
        <f t="shared" si="8"/>
        <v>162.66999999999999</v>
      </c>
      <c r="Q24" s="36">
        <f t="shared" si="9"/>
        <v>384.80999999999995</v>
      </c>
      <c r="R24" s="36"/>
      <c r="S24" s="36">
        <f t="shared" si="10"/>
        <v>2.67999999999995</v>
      </c>
      <c r="T24" s="38">
        <f t="shared" si="17"/>
        <v>7.0133200743201264E-3</v>
      </c>
      <c r="U24" s="23"/>
      <c r="V24" s="36">
        <f t="shared" si="11"/>
        <v>227.34</v>
      </c>
      <c r="W24" s="36">
        <f t="shared" si="12"/>
        <v>162.66999999999999</v>
      </c>
      <c r="X24" s="36">
        <f t="shared" si="13"/>
        <v>390.01</v>
      </c>
      <c r="Y24" s="36"/>
      <c r="Z24" s="36">
        <f t="shared" si="14"/>
        <v>5.2000000000000455</v>
      </c>
      <c r="AA24" s="38">
        <f t="shared" si="15"/>
        <v>1.3513162339856152E-2</v>
      </c>
    </row>
    <row r="25" spans="1:27" ht="14" x14ac:dyDescent="0.3">
      <c r="A25" s="57">
        <f t="shared" si="0"/>
        <v>25</v>
      </c>
      <c r="B25" s="31" t="s">
        <v>52</v>
      </c>
      <c r="C25" s="35">
        <v>585</v>
      </c>
      <c r="D25" s="36">
        <f t="shared" si="18"/>
        <v>65.39</v>
      </c>
      <c r="E25" s="36">
        <f t="shared" si="1"/>
        <v>47.58</v>
      </c>
      <c r="F25" s="36">
        <f t="shared" si="2"/>
        <v>112.97</v>
      </c>
      <c r="G25" s="36"/>
      <c r="H25" s="36">
        <f t="shared" si="3"/>
        <v>68.3</v>
      </c>
      <c r="I25" s="36">
        <f t="shared" si="4"/>
        <v>47.58</v>
      </c>
      <c r="J25" s="36">
        <f t="shared" si="5"/>
        <v>115.88</v>
      </c>
      <c r="K25" s="37"/>
      <c r="L25" s="36">
        <f t="shared" si="16"/>
        <v>2.9099999999999966</v>
      </c>
      <c r="M25" s="38">
        <f t="shared" si="6"/>
        <v>2.5759051075506741E-2</v>
      </c>
      <c r="N25" s="38"/>
      <c r="O25" s="36">
        <f t="shared" si="7"/>
        <v>69.08</v>
      </c>
      <c r="P25" s="36">
        <f t="shared" si="8"/>
        <v>47.58</v>
      </c>
      <c r="Q25" s="36">
        <f t="shared" si="9"/>
        <v>116.66</v>
      </c>
      <c r="R25" s="36"/>
      <c r="S25" s="36">
        <f t="shared" si="10"/>
        <v>0.78000000000000114</v>
      </c>
      <c r="T25" s="38">
        <f t="shared" si="17"/>
        <v>6.7311011391094338E-3</v>
      </c>
      <c r="U25" s="23"/>
      <c r="V25" s="36">
        <f t="shared" si="11"/>
        <v>70.599999999999994</v>
      </c>
      <c r="W25" s="36">
        <f t="shared" si="12"/>
        <v>47.58</v>
      </c>
      <c r="X25" s="36">
        <f t="shared" si="13"/>
        <v>118.17999999999999</v>
      </c>
      <c r="Y25" s="36"/>
      <c r="Z25" s="36">
        <f t="shared" si="14"/>
        <v>1.519999999999996</v>
      </c>
      <c r="AA25" s="38">
        <f t="shared" si="15"/>
        <v>1.3029315960912018E-2</v>
      </c>
    </row>
    <row r="26" spans="1:27" ht="14" x14ac:dyDescent="0.3">
      <c r="A26" s="57">
        <f t="shared" si="0"/>
        <v>26</v>
      </c>
      <c r="B26" s="31"/>
      <c r="C26" s="35"/>
      <c r="D26" s="63"/>
      <c r="E26" s="42"/>
      <c r="F26" s="42"/>
      <c r="G26" s="43"/>
      <c r="H26" s="42"/>
      <c r="I26" s="42"/>
      <c r="J26" s="42"/>
      <c r="K26" s="43"/>
      <c r="L26" s="43"/>
      <c r="X26" s="40"/>
    </row>
    <row r="27" spans="1:27" ht="14" x14ac:dyDescent="0.3">
      <c r="A27" s="57">
        <f t="shared" si="0"/>
        <v>27</v>
      </c>
      <c r="B27" s="31"/>
      <c r="C27" s="41"/>
      <c r="D27" s="42"/>
      <c r="E27" s="42"/>
      <c r="F27" s="42"/>
      <c r="G27" s="43"/>
      <c r="H27" s="42"/>
      <c r="I27" s="42"/>
      <c r="J27" s="42"/>
      <c r="K27" s="43"/>
      <c r="L27" s="43"/>
      <c r="X27" s="40"/>
    </row>
    <row r="28" spans="1:27" ht="14" x14ac:dyDescent="0.3">
      <c r="A28" s="57">
        <f t="shared" si="0"/>
        <v>28</v>
      </c>
      <c r="B28" s="31"/>
      <c r="C28" s="44" t="s">
        <v>53</v>
      </c>
      <c r="D28" s="37"/>
      <c r="E28" s="37"/>
      <c r="G28" s="60"/>
      <c r="H28" s="45">
        <f>+'EMA R1'!H28</f>
        <v>2024</v>
      </c>
      <c r="I28" s="45">
        <f>+'EMA R1'!I28</f>
        <v>2025</v>
      </c>
      <c r="J28" s="45">
        <f>+'EMA R1'!J28</f>
        <v>2026</v>
      </c>
      <c r="K28" s="45"/>
      <c r="L28" s="45">
        <f>+'EMA R1'!L28</f>
        <v>2027</v>
      </c>
      <c r="M28" s="45" t="str">
        <f>+'EMA R1'!M28</f>
        <v>2025 v 2024</v>
      </c>
      <c r="N28" s="45"/>
      <c r="O28" s="45" t="str">
        <f>+'EMA R1'!O28</f>
        <v>2026 v 2025</v>
      </c>
      <c r="P28" s="45" t="str">
        <f>+'EMA R1'!P28</f>
        <v>2027 v 2026</v>
      </c>
      <c r="Q28" s="23"/>
    </row>
    <row r="29" spans="1:27" ht="14" x14ac:dyDescent="0.3">
      <c r="A29" s="57">
        <f t="shared" si="0"/>
        <v>29</v>
      </c>
      <c r="B29" s="31"/>
      <c r="C29" s="44" t="s">
        <v>53</v>
      </c>
      <c r="D29" s="37"/>
      <c r="E29" s="37"/>
      <c r="G29" s="60"/>
      <c r="H29" s="47" t="str">
        <f>+'EMA R1'!H29</f>
        <v>Rates</v>
      </c>
      <c r="I29" s="47" t="s">
        <v>57</v>
      </c>
      <c r="J29" s="47" t="s">
        <v>57</v>
      </c>
      <c r="K29" s="37"/>
      <c r="L29" s="47" t="s">
        <v>57</v>
      </c>
      <c r="M29" s="48" t="s">
        <v>51</v>
      </c>
      <c r="N29" s="22"/>
      <c r="O29" s="48" t="s">
        <v>51</v>
      </c>
      <c r="P29" s="48" t="s">
        <v>51</v>
      </c>
      <c r="Q29" s="23"/>
    </row>
    <row r="30" spans="1:27" ht="14" x14ac:dyDescent="0.3">
      <c r="A30" s="57">
        <f t="shared" si="0"/>
        <v>30</v>
      </c>
      <c r="B30" s="31"/>
      <c r="C30" s="28" t="str">
        <f>+'EMA R2'!C30</f>
        <v>Customer Charge</v>
      </c>
      <c r="D30" s="37"/>
      <c r="E30" s="37"/>
      <c r="G30" s="37"/>
      <c r="H30" s="49">
        <v>10</v>
      </c>
      <c r="I30" s="49">
        <f t="shared" ref="I30:I58" si="19">+H30</f>
        <v>10</v>
      </c>
      <c r="J30" s="49">
        <f t="shared" ref="J30:J58" si="20">H30</f>
        <v>10</v>
      </c>
      <c r="K30" s="37"/>
      <c r="L30" s="49">
        <f t="shared" ref="L30:L58" si="21">H30</f>
        <v>10</v>
      </c>
      <c r="M30" s="50">
        <f t="shared" ref="M30:M58" si="22">+I30-H30</f>
        <v>0</v>
      </c>
      <c r="N30" s="23"/>
      <c r="O30" s="50">
        <f t="shared" ref="O30:O58" si="23">+J30-I30</f>
        <v>0</v>
      </c>
      <c r="P30" s="50">
        <f t="shared" ref="P30:P58" si="24">+L30-J30</f>
        <v>0</v>
      </c>
      <c r="Q30" s="51" t="s">
        <v>59</v>
      </c>
    </row>
    <row r="31" spans="1:27" ht="14" x14ac:dyDescent="0.3">
      <c r="A31" s="57">
        <f t="shared" si="0"/>
        <v>31</v>
      </c>
      <c r="B31" s="31"/>
      <c r="C31" s="28" t="str">
        <f>+'EMA R2'!C31</f>
        <v>Distribution Energy</v>
      </c>
      <c r="D31" s="37"/>
      <c r="E31" s="37"/>
      <c r="G31" s="55"/>
      <c r="H31" s="53">
        <v>5.9089999999999997E-2</v>
      </c>
      <c r="I31" s="53">
        <f t="shared" si="19"/>
        <v>5.9089999999999997E-2</v>
      </c>
      <c r="J31" s="53">
        <f t="shared" si="20"/>
        <v>5.9089999999999997E-2</v>
      </c>
      <c r="K31" s="37"/>
      <c r="L31" s="53">
        <f t="shared" si="21"/>
        <v>5.9089999999999997E-2</v>
      </c>
      <c r="M31" s="54">
        <f t="shared" si="22"/>
        <v>0</v>
      </c>
      <c r="N31" s="23"/>
      <c r="O31" s="54">
        <f t="shared" si="23"/>
        <v>0</v>
      </c>
      <c r="P31" s="54">
        <f t="shared" si="24"/>
        <v>0</v>
      </c>
      <c r="Q31" s="51" t="s">
        <v>59</v>
      </c>
    </row>
    <row r="32" spans="1:27" ht="14" x14ac:dyDescent="0.3">
      <c r="A32" s="57">
        <f t="shared" si="0"/>
        <v>32</v>
      </c>
      <c r="B32" s="31"/>
      <c r="C32" s="52" t="s">
        <v>61</v>
      </c>
      <c r="D32" s="37"/>
      <c r="E32" s="37"/>
      <c r="G32" s="55"/>
      <c r="H32" s="53">
        <v>1.01E-3</v>
      </c>
      <c r="I32" s="53">
        <f t="shared" si="19"/>
        <v>1.01E-3</v>
      </c>
      <c r="J32" s="53">
        <f t="shared" si="20"/>
        <v>1.01E-3</v>
      </c>
      <c r="K32" s="37"/>
      <c r="L32" s="53">
        <f t="shared" si="21"/>
        <v>1.01E-3</v>
      </c>
      <c r="M32" s="54">
        <f t="shared" si="22"/>
        <v>0</v>
      </c>
      <c r="N32" s="23"/>
      <c r="O32" s="54">
        <f t="shared" si="23"/>
        <v>0</v>
      </c>
      <c r="P32" s="54">
        <f t="shared" si="24"/>
        <v>0</v>
      </c>
      <c r="Q32" s="51" t="str">
        <f>+'EMA R1'!Q32</f>
        <v>ECA</v>
      </c>
    </row>
    <row r="33" spans="1:17" ht="14" x14ac:dyDescent="0.3">
      <c r="A33" s="57">
        <f t="shared" si="0"/>
        <v>33</v>
      </c>
      <c r="B33" s="31"/>
      <c r="C33" s="28" t="str">
        <f>+'EMA R2'!C33</f>
        <v>Revenue Decoupling</v>
      </c>
      <c r="D33" s="37"/>
      <c r="E33" s="37"/>
      <c r="G33" s="55"/>
      <c r="H33" s="53">
        <v>6.0000000000000002E-5</v>
      </c>
      <c r="I33" s="53">
        <f t="shared" si="19"/>
        <v>6.0000000000000002E-5</v>
      </c>
      <c r="J33" s="53">
        <f t="shared" si="20"/>
        <v>6.0000000000000002E-5</v>
      </c>
      <c r="K33" s="37"/>
      <c r="L33" s="53">
        <f t="shared" si="21"/>
        <v>6.0000000000000002E-5</v>
      </c>
      <c r="M33" s="54">
        <f t="shared" si="22"/>
        <v>0</v>
      </c>
      <c r="N33" s="23"/>
      <c r="O33" s="54">
        <f t="shared" si="23"/>
        <v>0</v>
      </c>
      <c r="P33" s="54">
        <f t="shared" si="24"/>
        <v>0</v>
      </c>
      <c r="Q33" s="51" t="str">
        <f>+'EMA R1'!Q33</f>
        <v>RDAF</v>
      </c>
    </row>
    <row r="34" spans="1:17" ht="14" x14ac:dyDescent="0.3">
      <c r="A34" s="57">
        <f t="shared" si="0"/>
        <v>34</v>
      </c>
      <c r="B34" s="31"/>
      <c r="C34" s="28" t="str">
        <f>+'EMA R2'!C34</f>
        <v>Distributed Solar Charge</v>
      </c>
      <c r="D34" s="37"/>
      <c r="E34" s="37"/>
      <c r="G34" s="55"/>
      <c r="H34" s="53">
        <v>8.0000000000000002E-3</v>
      </c>
      <c r="I34" s="53">
        <f t="shared" si="19"/>
        <v>8.0000000000000002E-3</v>
      </c>
      <c r="J34" s="53">
        <f t="shared" si="20"/>
        <v>8.0000000000000002E-3</v>
      </c>
      <c r="K34" s="37"/>
      <c r="L34" s="53">
        <f t="shared" si="21"/>
        <v>8.0000000000000002E-3</v>
      </c>
      <c r="M34" s="54">
        <f t="shared" si="22"/>
        <v>0</v>
      </c>
      <c r="N34" s="23"/>
      <c r="O34" s="54">
        <f t="shared" si="23"/>
        <v>0</v>
      </c>
      <c r="P34" s="54">
        <f t="shared" si="24"/>
        <v>0</v>
      </c>
      <c r="Q34" s="51" t="str">
        <f>+'EMA R1'!Q34</f>
        <v>SMART</v>
      </c>
    </row>
    <row r="35" spans="1:17" ht="14" x14ac:dyDescent="0.3">
      <c r="A35" s="57">
        <f t="shared" si="0"/>
        <v>35</v>
      </c>
      <c r="B35" s="31"/>
      <c r="C35" s="28" t="str">
        <f>+'EMA R2'!C35</f>
        <v>Residential Assistance Adjustment Factor</v>
      </c>
      <c r="D35" s="37"/>
      <c r="E35" s="37"/>
      <c r="G35" s="55"/>
      <c r="H35" s="53">
        <v>8.1600000000000006E-3</v>
      </c>
      <c r="I35" s="53">
        <f t="shared" si="19"/>
        <v>8.1600000000000006E-3</v>
      </c>
      <c r="J35" s="53">
        <f t="shared" si="20"/>
        <v>8.1600000000000006E-3</v>
      </c>
      <c r="K35" s="37"/>
      <c r="L35" s="53">
        <f t="shared" si="21"/>
        <v>8.1600000000000006E-3</v>
      </c>
      <c r="M35" s="54">
        <f t="shared" si="22"/>
        <v>0</v>
      </c>
      <c r="N35" s="23"/>
      <c r="O35" s="54">
        <f t="shared" si="23"/>
        <v>0</v>
      </c>
      <c r="P35" s="54">
        <f t="shared" si="24"/>
        <v>0</v>
      </c>
      <c r="Q35" s="51" t="str">
        <f>+'EMA R1'!Q35</f>
        <v>RAAF</v>
      </c>
    </row>
    <row r="36" spans="1:17" ht="14" x14ac:dyDescent="0.3">
      <c r="A36" s="57">
        <f t="shared" si="0"/>
        <v>36</v>
      </c>
      <c r="B36" s="31"/>
      <c r="C36" s="28" t="str">
        <f>+'EMA R2'!C36</f>
        <v>Pension Adjustment Factor</v>
      </c>
      <c r="D36" s="37"/>
      <c r="E36" s="37"/>
      <c r="G36" s="55"/>
      <c r="H36" s="53">
        <v>8.5999999999999998E-4</v>
      </c>
      <c r="I36" s="53">
        <f t="shared" si="19"/>
        <v>8.5999999999999998E-4</v>
      </c>
      <c r="J36" s="53">
        <f t="shared" si="20"/>
        <v>8.5999999999999998E-4</v>
      </c>
      <c r="K36" s="37"/>
      <c r="L36" s="53">
        <f t="shared" si="21"/>
        <v>8.5999999999999998E-4</v>
      </c>
      <c r="M36" s="54">
        <f t="shared" si="22"/>
        <v>0</v>
      </c>
      <c r="N36" s="23"/>
      <c r="O36" s="54">
        <f t="shared" si="23"/>
        <v>0</v>
      </c>
      <c r="P36" s="54">
        <f t="shared" si="24"/>
        <v>0</v>
      </c>
      <c r="Q36" s="51" t="str">
        <f>+'EMA R1'!Q36</f>
        <v>PAF</v>
      </c>
    </row>
    <row r="37" spans="1:17" ht="14" x14ac:dyDescent="0.3">
      <c r="A37" s="57">
        <f t="shared" si="0"/>
        <v>37</v>
      </c>
      <c r="B37" s="31"/>
      <c r="C37" s="28" t="str">
        <f>+'EMA R2'!C37</f>
        <v>Net Metering Recovery Surcharge</v>
      </c>
      <c r="D37" s="37"/>
      <c r="E37" s="37"/>
      <c r="G37" s="55"/>
      <c r="H37" s="53">
        <v>1.6219999999999998E-2</v>
      </c>
      <c r="I37" s="53">
        <f t="shared" si="19"/>
        <v>1.6219999999999998E-2</v>
      </c>
      <c r="J37" s="53">
        <f t="shared" si="20"/>
        <v>1.6219999999999998E-2</v>
      </c>
      <c r="K37" s="37"/>
      <c r="L37" s="53">
        <f t="shared" si="21"/>
        <v>1.6219999999999998E-2</v>
      </c>
      <c r="M37" s="54">
        <f t="shared" si="22"/>
        <v>0</v>
      </c>
      <c r="N37" s="23"/>
      <c r="O37" s="54">
        <f t="shared" si="23"/>
        <v>0</v>
      </c>
      <c r="P37" s="54">
        <f t="shared" si="24"/>
        <v>0</v>
      </c>
      <c r="Q37" s="51" t="str">
        <f>+'EMA R1'!Q37</f>
        <v>NMRS</v>
      </c>
    </row>
    <row r="38" spans="1:17" ht="14" x14ac:dyDescent="0.3">
      <c r="A38" s="57">
        <f t="shared" si="0"/>
        <v>38</v>
      </c>
      <c r="B38" s="31"/>
      <c r="C38" s="28" t="str">
        <f>+'EMA R2'!C38</f>
        <v>Long Term Renewable Contract Adjustment</v>
      </c>
      <c r="D38" s="37"/>
      <c r="E38" s="37"/>
      <c r="G38" s="55"/>
      <c r="H38" s="53">
        <v>-1.9300000000000001E-3</v>
      </c>
      <c r="I38" s="53">
        <f t="shared" si="19"/>
        <v>-1.9300000000000001E-3</v>
      </c>
      <c r="J38" s="53">
        <f t="shared" si="20"/>
        <v>-1.9300000000000001E-3</v>
      </c>
      <c r="K38" s="37"/>
      <c r="L38" s="53">
        <f t="shared" si="21"/>
        <v>-1.9300000000000001E-3</v>
      </c>
      <c r="M38" s="54">
        <f t="shared" si="22"/>
        <v>0</v>
      </c>
      <c r="N38" s="23"/>
      <c r="O38" s="54">
        <f t="shared" si="23"/>
        <v>0</v>
      </c>
      <c r="P38" s="54">
        <f t="shared" si="24"/>
        <v>0</v>
      </c>
      <c r="Q38" s="51" t="str">
        <f>+'EMA R1'!Q38</f>
        <v>LTRCA</v>
      </c>
    </row>
    <row r="39" spans="1:17" ht="14" x14ac:dyDescent="0.3">
      <c r="A39" s="57">
        <f t="shared" si="0"/>
        <v>39</v>
      </c>
      <c r="B39" s="31"/>
      <c r="C39" s="28" t="str">
        <f>+'EMA R2'!C39</f>
        <v>AG Consulting Expense</v>
      </c>
      <c r="D39" s="37"/>
      <c r="E39" s="37"/>
      <c r="G39" s="55"/>
      <c r="H39" s="53">
        <v>5.0000000000000002E-5</v>
      </c>
      <c r="I39" s="53">
        <f t="shared" si="19"/>
        <v>5.0000000000000002E-5</v>
      </c>
      <c r="J39" s="53">
        <f t="shared" si="20"/>
        <v>5.0000000000000002E-5</v>
      </c>
      <c r="K39" s="37"/>
      <c r="L39" s="53">
        <f t="shared" si="21"/>
        <v>5.0000000000000002E-5</v>
      </c>
      <c r="M39" s="54">
        <f t="shared" si="22"/>
        <v>0</v>
      </c>
      <c r="N39" s="23"/>
      <c r="O39" s="54">
        <f t="shared" si="23"/>
        <v>0</v>
      </c>
      <c r="P39" s="54">
        <f t="shared" si="24"/>
        <v>0</v>
      </c>
      <c r="Q39" s="51" t="str">
        <f>+'EMA R1'!Q39</f>
        <v>AGCE</v>
      </c>
    </row>
    <row r="40" spans="1:17" ht="14" x14ac:dyDescent="0.3">
      <c r="A40" s="57">
        <f t="shared" si="0"/>
        <v>40</v>
      </c>
      <c r="B40" s="31"/>
      <c r="C40" s="28" t="str">
        <f>+'EMA R2'!C40</f>
        <v>Storm Cost Recovery Adjustment Factor</v>
      </c>
      <c r="D40" s="37"/>
      <c r="E40" s="37"/>
      <c r="G40" s="55"/>
      <c r="H40" s="53">
        <v>6.6299999999999996E-3</v>
      </c>
      <c r="I40" s="53">
        <f t="shared" si="19"/>
        <v>6.6299999999999996E-3</v>
      </c>
      <c r="J40" s="53">
        <f t="shared" si="20"/>
        <v>6.6299999999999996E-3</v>
      </c>
      <c r="K40" s="37"/>
      <c r="L40" s="53">
        <f t="shared" si="21"/>
        <v>6.6299999999999996E-3</v>
      </c>
      <c r="M40" s="54">
        <f t="shared" si="22"/>
        <v>0</v>
      </c>
      <c r="N40" s="23"/>
      <c r="O40" s="54">
        <f t="shared" si="23"/>
        <v>0</v>
      </c>
      <c r="P40" s="54">
        <f t="shared" si="24"/>
        <v>0</v>
      </c>
      <c r="Q40" s="51" t="str">
        <f>+'EMA R1'!Q40</f>
        <v>SCRA</v>
      </c>
    </row>
    <row r="41" spans="1:17" ht="14" x14ac:dyDescent="0.3">
      <c r="A41" s="57">
        <f t="shared" si="0"/>
        <v>41</v>
      </c>
      <c r="B41" s="31"/>
      <c r="C41" s="28" t="str">
        <f>+'EMA R2'!C41</f>
        <v>Storm Reserve Adjustment</v>
      </c>
      <c r="D41" s="37"/>
      <c r="E41" s="37"/>
      <c r="G41" s="55"/>
      <c r="H41" s="53">
        <v>0</v>
      </c>
      <c r="I41" s="53">
        <f t="shared" si="19"/>
        <v>0</v>
      </c>
      <c r="J41" s="53">
        <f t="shared" si="20"/>
        <v>0</v>
      </c>
      <c r="K41" s="37"/>
      <c r="L41" s="53">
        <f t="shared" si="21"/>
        <v>0</v>
      </c>
      <c r="M41" s="54">
        <f t="shared" si="22"/>
        <v>0</v>
      </c>
      <c r="N41" s="23"/>
      <c r="O41" s="54">
        <f t="shared" si="23"/>
        <v>0</v>
      </c>
      <c r="P41" s="54">
        <f t="shared" si="24"/>
        <v>0</v>
      </c>
      <c r="Q41" s="51" t="str">
        <f>+'EMA R1'!Q41</f>
        <v>SRA</v>
      </c>
    </row>
    <row r="42" spans="1:17" ht="14" x14ac:dyDescent="0.3">
      <c r="A42" s="57">
        <f t="shared" si="0"/>
        <v>42</v>
      </c>
      <c r="B42" s="31"/>
      <c r="C42" s="28" t="str">
        <f>+'EMA R2'!C42</f>
        <v>Basic Service Cost True Up Factor</v>
      </c>
      <c r="D42" s="37"/>
      <c r="E42" s="37"/>
      <c r="G42" s="55"/>
      <c r="H42" s="53">
        <v>-4.6000000000000001E-4</v>
      </c>
      <c r="I42" s="53">
        <f t="shared" si="19"/>
        <v>-4.6000000000000001E-4</v>
      </c>
      <c r="J42" s="53">
        <f t="shared" si="20"/>
        <v>-4.6000000000000001E-4</v>
      </c>
      <c r="K42" s="37"/>
      <c r="L42" s="53">
        <f t="shared" si="21"/>
        <v>-4.6000000000000001E-4</v>
      </c>
      <c r="M42" s="54">
        <f t="shared" si="22"/>
        <v>0</v>
      </c>
      <c r="N42" s="23"/>
      <c r="O42" s="54">
        <f t="shared" si="23"/>
        <v>0</v>
      </c>
      <c r="P42" s="54">
        <f t="shared" si="24"/>
        <v>0</v>
      </c>
      <c r="Q42" s="51" t="str">
        <f>+'EMA R1'!Q42</f>
        <v>BSTF</v>
      </c>
    </row>
    <row r="43" spans="1:17" ht="14" x14ac:dyDescent="0.3">
      <c r="A43" s="57">
        <f t="shared" si="0"/>
        <v>43</v>
      </c>
      <c r="B43" s="31"/>
      <c r="C43" s="28" t="str">
        <f>+'EMA R2'!C43</f>
        <v>Solar Program Cost Adjustment Factor</v>
      </c>
      <c r="D43" s="37"/>
      <c r="E43" s="37"/>
      <c r="G43" s="55"/>
      <c r="H43" s="53">
        <v>2.0000000000000002E-5</v>
      </c>
      <c r="I43" s="53">
        <f t="shared" si="19"/>
        <v>2.0000000000000002E-5</v>
      </c>
      <c r="J43" s="53">
        <f t="shared" si="20"/>
        <v>2.0000000000000002E-5</v>
      </c>
      <c r="K43" s="37"/>
      <c r="L43" s="53">
        <f t="shared" si="21"/>
        <v>2.0000000000000002E-5</v>
      </c>
      <c r="M43" s="54">
        <f t="shared" si="22"/>
        <v>0</v>
      </c>
      <c r="N43" s="23"/>
      <c r="O43" s="54">
        <f t="shared" si="23"/>
        <v>0</v>
      </c>
      <c r="P43" s="54">
        <f t="shared" si="24"/>
        <v>0</v>
      </c>
      <c r="Q43" s="51" t="str">
        <f>+'EMA R1'!Q43</f>
        <v>SPCA</v>
      </c>
    </row>
    <row r="44" spans="1:17" ht="14" x14ac:dyDescent="0.3">
      <c r="A44" s="57">
        <f t="shared" si="0"/>
        <v>44</v>
      </c>
      <c r="B44" s="31"/>
      <c r="C44" s="28" t="str">
        <f>+'EMA R2'!C44</f>
        <v>Solar Expansion Cost Recovery Factor</v>
      </c>
      <c r="D44" s="37"/>
      <c r="E44" s="37"/>
      <c r="G44" s="55"/>
      <c r="H44" s="53">
        <v>-5.1000000000000004E-4</v>
      </c>
      <c r="I44" s="53">
        <f t="shared" si="19"/>
        <v>-5.1000000000000004E-4</v>
      </c>
      <c r="J44" s="53">
        <f t="shared" si="20"/>
        <v>-5.1000000000000004E-4</v>
      </c>
      <c r="K44" s="37"/>
      <c r="L44" s="53">
        <f t="shared" si="21"/>
        <v>-5.1000000000000004E-4</v>
      </c>
      <c r="M44" s="54">
        <f t="shared" si="22"/>
        <v>0</v>
      </c>
      <c r="N44" s="23"/>
      <c r="O44" s="54">
        <f t="shared" si="23"/>
        <v>0</v>
      </c>
      <c r="P44" s="54">
        <f t="shared" si="24"/>
        <v>0</v>
      </c>
      <c r="Q44" s="51" t="str">
        <f>+'EMA R1'!Q44</f>
        <v>SECRF</v>
      </c>
    </row>
    <row r="45" spans="1:17" ht="14" x14ac:dyDescent="0.3">
      <c r="A45" s="57">
        <f t="shared" si="0"/>
        <v>45</v>
      </c>
      <c r="B45" s="31"/>
      <c r="C45" s="28" t="str">
        <f>+'EMA R2'!C45</f>
        <v>Vegetation Management</v>
      </c>
      <c r="D45" s="37"/>
      <c r="E45" s="37"/>
      <c r="G45" s="55"/>
      <c r="H45" s="53">
        <v>1.9300000000000001E-3</v>
      </c>
      <c r="I45" s="53">
        <f t="shared" si="19"/>
        <v>1.9300000000000001E-3</v>
      </c>
      <c r="J45" s="53">
        <f t="shared" si="20"/>
        <v>1.9300000000000001E-3</v>
      </c>
      <c r="K45" s="37"/>
      <c r="L45" s="53">
        <f t="shared" si="21"/>
        <v>1.9300000000000001E-3</v>
      </c>
      <c r="M45" s="54">
        <f t="shared" si="22"/>
        <v>0</v>
      </c>
      <c r="N45" s="23"/>
      <c r="O45" s="54">
        <f t="shared" si="23"/>
        <v>0</v>
      </c>
      <c r="P45" s="54">
        <f t="shared" si="24"/>
        <v>0</v>
      </c>
      <c r="Q45" s="51" t="str">
        <f>+'EMA R1'!Q45</f>
        <v>RTWF</v>
      </c>
    </row>
    <row r="46" spans="1:17" ht="14" x14ac:dyDescent="0.3">
      <c r="A46" s="57">
        <f t="shared" si="0"/>
        <v>46</v>
      </c>
      <c r="B46" s="31"/>
      <c r="C46" s="28" t="str">
        <f>+'EMA R2'!C46</f>
        <v>Tax Act Credit Factor</v>
      </c>
      <c r="D46" s="37"/>
      <c r="E46" s="37"/>
      <c r="G46" s="55"/>
      <c r="H46" s="53">
        <v>-1.8E-3</v>
      </c>
      <c r="I46" s="53">
        <f t="shared" si="19"/>
        <v>-1.8E-3</v>
      </c>
      <c r="J46" s="53">
        <f t="shared" si="20"/>
        <v>-1.8E-3</v>
      </c>
      <c r="K46" s="37"/>
      <c r="L46" s="53">
        <f t="shared" si="21"/>
        <v>-1.8E-3</v>
      </c>
      <c r="M46" s="54">
        <f t="shared" si="22"/>
        <v>0</v>
      </c>
      <c r="N46" s="23"/>
      <c r="O46" s="54">
        <f t="shared" si="23"/>
        <v>0</v>
      </c>
      <c r="P46" s="54">
        <f t="shared" si="24"/>
        <v>0</v>
      </c>
      <c r="Q46" s="51" t="str">
        <f>+'EMA R1'!Q46</f>
        <v>TACF</v>
      </c>
    </row>
    <row r="47" spans="1:17" ht="14" x14ac:dyDescent="0.3">
      <c r="A47" s="57">
        <f t="shared" si="0"/>
        <v>47</v>
      </c>
      <c r="B47" s="31"/>
      <c r="C47" s="28" t="str">
        <f>+'EMA R2'!C47</f>
        <v>Grid Modernization</v>
      </c>
      <c r="D47" s="37"/>
      <c r="E47" s="37"/>
      <c r="G47" s="55"/>
      <c r="H47" s="53">
        <v>2.2100000000000002E-3</v>
      </c>
      <c r="I47" s="53">
        <f t="shared" si="19"/>
        <v>2.2100000000000002E-3</v>
      </c>
      <c r="J47" s="53">
        <f t="shared" si="20"/>
        <v>2.2100000000000002E-3</v>
      </c>
      <c r="K47" s="37"/>
      <c r="L47" s="53">
        <f t="shared" si="21"/>
        <v>2.2100000000000002E-3</v>
      </c>
      <c r="M47" s="54">
        <f t="shared" si="22"/>
        <v>0</v>
      </c>
      <c r="N47" s="23"/>
      <c r="O47" s="54">
        <f t="shared" si="23"/>
        <v>0</v>
      </c>
      <c r="P47" s="54">
        <f t="shared" si="24"/>
        <v>0</v>
      </c>
      <c r="Q47" s="51" t="str">
        <f>+'EMA R1'!Q47</f>
        <v>GMOD</v>
      </c>
    </row>
    <row r="48" spans="1:17" ht="14" x14ac:dyDescent="0.3">
      <c r="A48" s="57">
        <f t="shared" si="0"/>
        <v>48</v>
      </c>
      <c r="B48" s="31"/>
      <c r="C48" s="28" t="str">
        <f>+'EMA R2'!C48</f>
        <v>Advanced Metering Infrastructure</v>
      </c>
      <c r="D48" s="37"/>
      <c r="E48" s="37"/>
      <c r="G48" s="55"/>
      <c r="H48" s="53">
        <v>2.9399999999999999E-3</v>
      </c>
      <c r="I48" s="53">
        <f t="shared" si="19"/>
        <v>2.9399999999999999E-3</v>
      </c>
      <c r="J48" s="53">
        <f t="shared" si="20"/>
        <v>2.9399999999999999E-3</v>
      </c>
      <c r="K48" s="37"/>
      <c r="L48" s="53">
        <f t="shared" si="21"/>
        <v>2.9399999999999999E-3</v>
      </c>
      <c r="M48" s="54">
        <f t="shared" si="22"/>
        <v>0</v>
      </c>
      <c r="N48" s="23"/>
      <c r="O48" s="54">
        <f t="shared" si="23"/>
        <v>0</v>
      </c>
      <c r="P48" s="54">
        <f t="shared" si="24"/>
        <v>0</v>
      </c>
      <c r="Q48" s="51" t="str">
        <f>+'EMA R1'!Q48</f>
        <v>AMIF</v>
      </c>
    </row>
    <row r="49" spans="1:17" ht="14" x14ac:dyDescent="0.3">
      <c r="A49" s="57">
        <f t="shared" si="0"/>
        <v>49</v>
      </c>
      <c r="B49" s="31"/>
      <c r="C49" s="28" t="str">
        <f>+'EMA R2'!C49</f>
        <v>Electronic Payment Recovery</v>
      </c>
      <c r="D49" s="37"/>
      <c r="E49" s="37"/>
      <c r="G49" s="55"/>
      <c r="H49" s="53">
        <v>0</v>
      </c>
      <c r="I49" s="53">
        <f t="shared" si="19"/>
        <v>0</v>
      </c>
      <c r="J49" s="53">
        <f t="shared" si="20"/>
        <v>0</v>
      </c>
      <c r="K49" s="37"/>
      <c r="L49" s="53">
        <f t="shared" si="21"/>
        <v>0</v>
      </c>
      <c r="M49" s="54">
        <f t="shared" si="22"/>
        <v>0</v>
      </c>
      <c r="N49" s="23"/>
      <c r="O49" s="54">
        <f t="shared" si="23"/>
        <v>0</v>
      </c>
      <c r="P49" s="54">
        <f t="shared" si="24"/>
        <v>0</v>
      </c>
      <c r="Q49" s="51" t="str">
        <f>+'EMA R1'!Q49</f>
        <v>EPR</v>
      </c>
    </row>
    <row r="50" spans="1:17" ht="14" x14ac:dyDescent="0.3">
      <c r="A50" s="57">
        <f t="shared" si="0"/>
        <v>50</v>
      </c>
      <c r="B50" s="31"/>
      <c r="C50" s="28" t="str">
        <f>+'EMA R2'!C50</f>
        <v>Provisional System Planning Factor</v>
      </c>
      <c r="D50" s="37"/>
      <c r="E50" s="37"/>
      <c r="G50" s="55"/>
      <c r="H50" s="53">
        <v>0</v>
      </c>
      <c r="I50" s="53">
        <f t="shared" si="19"/>
        <v>0</v>
      </c>
      <c r="J50" s="53">
        <f t="shared" si="20"/>
        <v>0</v>
      </c>
      <c r="K50" s="37"/>
      <c r="L50" s="53">
        <f t="shared" si="21"/>
        <v>0</v>
      </c>
      <c r="M50" s="54">
        <f t="shared" si="22"/>
        <v>0</v>
      </c>
      <c r="N50" s="23"/>
      <c r="O50" s="54">
        <f t="shared" si="23"/>
        <v>0</v>
      </c>
      <c r="P50" s="54">
        <f t="shared" si="24"/>
        <v>0</v>
      </c>
      <c r="Q50" s="51" t="str">
        <f>+'EMA R1'!Q50</f>
        <v>PSPF</v>
      </c>
    </row>
    <row r="51" spans="1:17" ht="14" x14ac:dyDescent="0.3">
      <c r="A51" s="57">
        <f t="shared" si="0"/>
        <v>51</v>
      </c>
      <c r="B51" s="31"/>
      <c r="C51" s="28" t="str">
        <f>+'EMA R2'!C51</f>
        <v>Electric Vehicle Factor</v>
      </c>
      <c r="D51" s="37"/>
      <c r="E51" s="37"/>
      <c r="G51" s="55"/>
      <c r="H51" s="53">
        <v>1.3799999999999999E-3</v>
      </c>
      <c r="I51" s="53">
        <f t="shared" si="19"/>
        <v>1.3799999999999999E-3</v>
      </c>
      <c r="J51" s="53">
        <f t="shared" si="20"/>
        <v>1.3799999999999999E-3</v>
      </c>
      <c r="K51" s="37"/>
      <c r="L51" s="53">
        <f t="shared" si="21"/>
        <v>1.3799999999999999E-3</v>
      </c>
      <c r="M51" s="54">
        <f t="shared" si="22"/>
        <v>0</v>
      </c>
      <c r="N51" s="23"/>
      <c r="O51" s="54">
        <f t="shared" si="23"/>
        <v>0</v>
      </c>
      <c r="P51" s="54">
        <f t="shared" si="24"/>
        <v>0</v>
      </c>
      <c r="Q51" s="51" t="str">
        <f>+'EMA R1'!Q51</f>
        <v>EVF</v>
      </c>
    </row>
    <row r="52" spans="1:17" ht="14" x14ac:dyDescent="0.3">
      <c r="A52" s="57">
        <f t="shared" si="0"/>
        <v>52</v>
      </c>
      <c r="B52" s="31"/>
      <c r="C52" s="28" t="str">
        <f>+'EMA R2'!C52</f>
        <v>Transition</v>
      </c>
      <c r="D52" s="37"/>
      <c r="E52" s="37"/>
      <c r="G52" s="55"/>
      <c r="H52" s="53">
        <v>-3.6999999999999999E-4</v>
      </c>
      <c r="I52" s="53">
        <f t="shared" si="19"/>
        <v>-3.6999999999999999E-4</v>
      </c>
      <c r="J52" s="53">
        <f t="shared" si="20"/>
        <v>-3.6999999999999999E-4</v>
      </c>
      <c r="K52" s="37"/>
      <c r="L52" s="53">
        <f t="shared" si="21"/>
        <v>-3.6999999999999999E-4</v>
      </c>
      <c r="M52" s="54">
        <f t="shared" si="22"/>
        <v>0</v>
      </c>
      <c r="N52" s="23"/>
      <c r="O52" s="54">
        <f t="shared" si="23"/>
        <v>0</v>
      </c>
      <c r="P52" s="54">
        <f t="shared" si="24"/>
        <v>0</v>
      </c>
      <c r="Q52" s="51" t="s">
        <v>102</v>
      </c>
    </row>
    <row r="53" spans="1:17" ht="14" x14ac:dyDescent="0.3">
      <c r="A53" s="57">
        <f t="shared" si="0"/>
        <v>53</v>
      </c>
      <c r="B53" s="31"/>
      <c r="C53" s="28" t="str">
        <f>+'EMA R2'!C53</f>
        <v>Transmission Energy</v>
      </c>
      <c r="D53" s="37"/>
      <c r="E53" s="37"/>
      <c r="G53" s="55"/>
      <c r="H53" s="53">
        <v>4.052E-2</v>
      </c>
      <c r="I53" s="53">
        <f t="shared" si="19"/>
        <v>4.052E-2</v>
      </c>
      <c r="J53" s="53">
        <f t="shared" si="20"/>
        <v>4.052E-2</v>
      </c>
      <c r="K53" s="37"/>
      <c r="L53" s="53">
        <f t="shared" si="21"/>
        <v>4.052E-2</v>
      </c>
      <c r="M53" s="54">
        <f t="shared" si="22"/>
        <v>0</v>
      </c>
      <c r="N53" s="23"/>
      <c r="O53" s="54">
        <f t="shared" si="23"/>
        <v>0</v>
      </c>
      <c r="P53" s="54">
        <f t="shared" si="24"/>
        <v>0</v>
      </c>
      <c r="Q53" s="51" t="s">
        <v>104</v>
      </c>
    </row>
    <row r="54" spans="1:17" ht="14" x14ac:dyDescent="0.3">
      <c r="A54" s="57">
        <f t="shared" si="0"/>
        <v>54</v>
      </c>
      <c r="B54" s="31"/>
      <c r="C54" s="28" t="str">
        <f>+'EMA R2'!C54</f>
        <v>Energy Efficiency Reconciliation Factor</v>
      </c>
      <c r="D54" s="37"/>
      <c r="E54" s="37"/>
      <c r="G54" s="55"/>
      <c r="H54" s="53">
        <v>2.861E-2</v>
      </c>
      <c r="I54" s="53">
        <v>3.7179999999999998E-2</v>
      </c>
      <c r="J54" s="53">
        <v>3.9489999999999997E-2</v>
      </c>
      <c r="K54" s="53"/>
      <c r="L54" s="53">
        <v>4.3970000000000002E-2</v>
      </c>
      <c r="M54" s="54">
        <f t="shared" si="22"/>
        <v>8.5699999999999978E-3</v>
      </c>
      <c r="N54" s="23"/>
      <c r="O54" s="54">
        <f t="shared" si="23"/>
        <v>2.3099999999999996E-3</v>
      </c>
      <c r="P54" s="54">
        <f t="shared" si="24"/>
        <v>4.4800000000000048E-3</v>
      </c>
      <c r="Q54" s="51" t="s">
        <v>106</v>
      </c>
    </row>
    <row r="55" spans="1:17" ht="14" x14ac:dyDescent="0.3">
      <c r="A55" s="57">
        <f t="shared" si="0"/>
        <v>55</v>
      </c>
      <c r="B55" s="31"/>
      <c r="C55" s="28" t="str">
        <f>+'EMA R2'!C55</f>
        <v>System Benefits Charge</v>
      </c>
      <c r="D55" s="37"/>
      <c r="E55" s="37"/>
      <c r="G55" s="55"/>
      <c r="H55" s="53">
        <v>2.5000000000000001E-3</v>
      </c>
      <c r="I55" s="53">
        <f t="shared" si="19"/>
        <v>2.5000000000000001E-3</v>
      </c>
      <c r="J55" s="53">
        <f t="shared" si="20"/>
        <v>2.5000000000000001E-3</v>
      </c>
      <c r="K55" s="37"/>
      <c r="L55" s="53">
        <f t="shared" si="21"/>
        <v>2.5000000000000001E-3</v>
      </c>
      <c r="M55" s="54">
        <f t="shared" si="22"/>
        <v>0</v>
      </c>
      <c r="N55" s="23"/>
      <c r="O55" s="54">
        <f t="shared" si="23"/>
        <v>0</v>
      </c>
      <c r="P55" s="54">
        <f t="shared" si="24"/>
        <v>0</v>
      </c>
      <c r="Q55" s="51" t="s">
        <v>108</v>
      </c>
    </row>
    <row r="56" spans="1:17" ht="14" x14ac:dyDescent="0.3">
      <c r="A56" s="57">
        <f t="shared" si="0"/>
        <v>56</v>
      </c>
      <c r="B56" s="31"/>
      <c r="C56" s="28" t="str">
        <f>+'EMA R2'!C56</f>
        <v>Renewable Energy Charge</v>
      </c>
      <c r="D56" s="37"/>
      <c r="E56" s="37"/>
      <c r="G56" s="55"/>
      <c r="H56" s="53">
        <v>5.0000000000000001E-4</v>
      </c>
      <c r="I56" s="53">
        <f t="shared" si="19"/>
        <v>5.0000000000000001E-4</v>
      </c>
      <c r="J56" s="53">
        <f t="shared" si="20"/>
        <v>5.0000000000000001E-4</v>
      </c>
      <c r="K56" s="37"/>
      <c r="L56" s="53">
        <f t="shared" si="21"/>
        <v>5.0000000000000001E-4</v>
      </c>
      <c r="M56" s="54">
        <f t="shared" si="22"/>
        <v>0</v>
      </c>
      <c r="N56" s="23"/>
      <c r="O56" s="54">
        <f t="shared" si="23"/>
        <v>0</v>
      </c>
      <c r="P56" s="54">
        <f t="shared" si="24"/>
        <v>0</v>
      </c>
      <c r="Q56" s="51" t="s">
        <v>110</v>
      </c>
    </row>
    <row r="57" spans="1:17" ht="14" x14ac:dyDescent="0.3">
      <c r="A57" s="57">
        <f t="shared" si="0"/>
        <v>57</v>
      </c>
      <c r="B57" s="31"/>
      <c r="C57" s="28" t="str">
        <f>+'EMA R2'!C57</f>
        <v>Basic Service Charge</v>
      </c>
      <c r="D57" s="37"/>
      <c r="E57" s="37"/>
      <c r="G57" s="55"/>
      <c r="H57" s="53">
        <v>0.14022999999999999</v>
      </c>
      <c r="I57" s="53">
        <f t="shared" si="19"/>
        <v>0.14022999999999999</v>
      </c>
      <c r="J57" s="53">
        <f t="shared" si="20"/>
        <v>0.14022999999999999</v>
      </c>
      <c r="K57" s="37"/>
      <c r="L57" s="53">
        <f t="shared" si="21"/>
        <v>0.14022999999999999</v>
      </c>
      <c r="M57" s="54">
        <f t="shared" si="22"/>
        <v>0</v>
      </c>
      <c r="N57" s="23"/>
      <c r="O57" s="54">
        <f t="shared" si="23"/>
        <v>0</v>
      </c>
      <c r="P57" s="54">
        <f t="shared" si="24"/>
        <v>0</v>
      </c>
      <c r="Q57" s="51" t="s">
        <v>112</v>
      </c>
    </row>
    <row r="58" spans="1:17" ht="14" x14ac:dyDescent="0.3">
      <c r="A58" s="57">
        <f t="shared" si="0"/>
        <v>58</v>
      </c>
      <c r="B58" s="31"/>
      <c r="C58" s="28" t="str">
        <f>+'EMA R2'!C58</f>
        <v>Low Income Discount</v>
      </c>
      <c r="D58" s="37"/>
      <c r="E58" s="37"/>
      <c r="G58" s="64"/>
      <c r="H58" s="65">
        <v>0.42</v>
      </c>
      <c r="I58" s="65">
        <f t="shared" si="19"/>
        <v>0.42</v>
      </c>
      <c r="J58" s="65">
        <f t="shared" si="20"/>
        <v>0.42</v>
      </c>
      <c r="K58" s="37"/>
      <c r="L58" s="65">
        <f t="shared" si="21"/>
        <v>0.42</v>
      </c>
      <c r="M58" s="64">
        <f t="shared" si="22"/>
        <v>0</v>
      </c>
      <c r="N58" s="64"/>
      <c r="O58" s="64">
        <f t="shared" si="23"/>
        <v>0</v>
      </c>
      <c r="P58" s="64">
        <f t="shared" si="24"/>
        <v>0</v>
      </c>
      <c r="Q58" s="51" t="s">
        <v>59</v>
      </c>
    </row>
    <row r="59" spans="1:17" ht="14" x14ac:dyDescent="0.3">
      <c r="A59" s="31"/>
      <c r="B59" s="31"/>
      <c r="C59" s="28"/>
      <c r="D59" s="37"/>
      <c r="E59" s="37"/>
      <c r="G59" s="55"/>
      <c r="H59" s="55"/>
      <c r="I59" s="55"/>
      <c r="J59" s="55"/>
      <c r="K59" s="37"/>
      <c r="L59" s="37"/>
    </row>
    <row r="60" spans="1:17" ht="14" x14ac:dyDescent="0.3">
      <c r="A60" s="31"/>
      <c r="B60" s="31"/>
      <c r="D60" s="37"/>
      <c r="E60" s="37"/>
      <c r="G60" s="55"/>
      <c r="H60" s="55"/>
      <c r="I60" s="55"/>
      <c r="J60" s="55"/>
      <c r="K60" s="37"/>
      <c r="L60" s="37"/>
    </row>
    <row r="61" spans="1:17" ht="14" x14ac:dyDescent="0.3">
      <c r="A61" s="31"/>
      <c r="B61" s="31"/>
      <c r="C61" s="28" t="s">
        <v>113</v>
      </c>
      <c r="D61" s="37"/>
      <c r="E61" s="37"/>
      <c r="G61" s="55"/>
      <c r="H61" s="55">
        <f>SUM(H31:H56)</f>
        <v>0.17562000000000003</v>
      </c>
      <c r="I61" s="55">
        <f>SUM(I31:I56)</f>
        <v>0.18419000000000002</v>
      </c>
      <c r="J61" s="55">
        <f>SUM(J31:J56)</f>
        <v>0.18650000000000003</v>
      </c>
      <c r="K61" s="37"/>
      <c r="L61" s="55">
        <f>SUM(L31:L56)</f>
        <v>0.19098000000000004</v>
      </c>
    </row>
    <row r="62" spans="1:17" ht="14" x14ac:dyDescent="0.3">
      <c r="C62" s="28" t="s">
        <v>114</v>
      </c>
      <c r="D62" s="37"/>
      <c r="E62" s="37"/>
      <c r="G62" s="55"/>
      <c r="H62" s="55">
        <f>H57</f>
        <v>0.14022999999999999</v>
      </c>
      <c r="I62" s="55">
        <f>I57</f>
        <v>0.14022999999999999</v>
      </c>
      <c r="J62" s="55">
        <f>J57</f>
        <v>0.14022999999999999</v>
      </c>
      <c r="L62" s="55">
        <f>L57</f>
        <v>0.14022999999999999</v>
      </c>
    </row>
  </sheetData>
  <mergeCells count="7">
    <mergeCell ref="Z10:AA10"/>
    <mergeCell ref="D10:F10"/>
    <mergeCell ref="H10:J10"/>
    <mergeCell ref="L10:M10"/>
    <mergeCell ref="O10:Q10"/>
    <mergeCell ref="S10:T10"/>
    <mergeCell ref="V10:X10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2626-BA2B-4234-B78A-D64F8D194D30}">
  <sheetPr>
    <tabColor theme="3" tint="0.59999389629810485"/>
    <pageSetUpPr fitToPage="1"/>
  </sheetPr>
  <dimension ref="A1:AA62"/>
  <sheetViews>
    <sheetView zoomScaleNormal="100" workbookViewId="0"/>
  </sheetViews>
  <sheetFormatPr defaultColWidth="8.7265625" defaultRowHeight="13" x14ac:dyDescent="0.3"/>
  <cols>
    <col min="1" max="1" width="4" style="58" bestFit="1" customWidth="1"/>
    <col min="2" max="2" width="5.54296875" style="58" bestFit="1" customWidth="1"/>
    <col min="3" max="6" width="12" style="58" customWidth="1"/>
    <col min="7" max="7" width="2" style="58" customWidth="1"/>
    <col min="8" max="10" width="12" style="58" customWidth="1"/>
    <col min="11" max="11" width="2" style="58" customWidth="1"/>
    <col min="12" max="13" width="12" style="58" customWidth="1"/>
    <col min="14" max="14" width="2" style="58" customWidth="1"/>
    <col min="15" max="17" width="12" style="58" customWidth="1"/>
    <col min="18" max="18" width="2" style="58" customWidth="1"/>
    <col min="19" max="20" width="12" style="58" customWidth="1"/>
    <col min="21" max="21" width="2" style="58" customWidth="1"/>
    <col min="22" max="24" width="12" style="58" customWidth="1"/>
    <col min="25" max="25" width="2" style="58" customWidth="1"/>
    <col min="26" max="27" width="12" style="58" customWidth="1"/>
    <col min="28" max="16384" width="8.7265625" style="58"/>
  </cols>
  <sheetData>
    <row r="1" spans="1:27" x14ac:dyDescent="0.3">
      <c r="A1" s="57">
        <v>1</v>
      </c>
    </row>
    <row r="2" spans="1:27" x14ac:dyDescent="0.3">
      <c r="A2" s="57">
        <f>A1+1</f>
        <v>2</v>
      </c>
    </row>
    <row r="3" spans="1:27" ht="14" x14ac:dyDescent="0.3">
      <c r="A3" s="57">
        <f t="shared" ref="A3:A57" si="0">A2+1</f>
        <v>3</v>
      </c>
      <c r="B3" s="24" t="s">
        <v>40</v>
      </c>
    </row>
    <row r="4" spans="1:27" ht="14" x14ac:dyDescent="0.3">
      <c r="A4" s="57">
        <f t="shared" si="0"/>
        <v>4</v>
      </c>
      <c r="B4" s="24" t="s">
        <v>41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6"/>
    </row>
    <row r="5" spans="1:27" ht="14" x14ac:dyDescent="0.3">
      <c r="A5" s="57">
        <f t="shared" si="0"/>
        <v>5</v>
      </c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6"/>
    </row>
    <row r="6" spans="1:27" ht="14" x14ac:dyDescent="0.3">
      <c r="A6" s="57">
        <f t="shared" si="0"/>
        <v>6</v>
      </c>
      <c r="B6" s="24" t="s">
        <v>119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6"/>
    </row>
    <row r="7" spans="1:27" ht="14" x14ac:dyDescent="0.3">
      <c r="A7" s="57">
        <f t="shared" si="0"/>
        <v>7</v>
      </c>
      <c r="B7" s="57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</row>
    <row r="8" spans="1:27" ht="14" x14ac:dyDescent="0.3">
      <c r="A8" s="57">
        <f t="shared" si="0"/>
        <v>8</v>
      </c>
      <c r="B8" s="27"/>
      <c r="C8" s="28"/>
      <c r="D8" s="28"/>
      <c r="E8" s="28"/>
      <c r="F8" s="29"/>
      <c r="G8" s="28"/>
    </row>
    <row r="9" spans="1:27" ht="14" x14ac:dyDescent="0.3">
      <c r="A9" s="57">
        <f t="shared" si="0"/>
        <v>9</v>
      </c>
      <c r="B9" s="27"/>
      <c r="C9" s="28"/>
      <c r="D9" s="28"/>
      <c r="E9" s="28"/>
      <c r="F9" s="30"/>
      <c r="G9" s="28"/>
    </row>
    <row r="10" spans="1:27" ht="14" x14ac:dyDescent="0.3">
      <c r="A10" s="57">
        <f t="shared" si="0"/>
        <v>10</v>
      </c>
      <c r="B10" s="31"/>
      <c r="C10" s="27" t="s">
        <v>2</v>
      </c>
      <c r="D10" s="32" t="str">
        <f>'EMA R1'!D10</f>
        <v>2024 Monthly Bill</v>
      </c>
      <c r="E10" s="32"/>
      <c r="F10" s="32"/>
      <c r="G10" s="33"/>
      <c r="H10" s="32" t="str">
        <f>'EMA R1'!H10</f>
        <v>2025 Illustrative Monthly Bill</v>
      </c>
      <c r="I10" s="32"/>
      <c r="J10" s="32"/>
      <c r="K10" s="23"/>
      <c r="L10" s="32" t="str">
        <f>'EMA R1'!L10</f>
        <v>2025 vs. 2024</v>
      </c>
      <c r="M10" s="32"/>
      <c r="N10" s="27"/>
      <c r="O10" s="32" t="str">
        <f>'EMA R1'!O10</f>
        <v>2026 Illustrative Monthly Bill</v>
      </c>
      <c r="P10" s="32"/>
      <c r="Q10" s="32"/>
      <c r="R10" s="33"/>
      <c r="S10" s="32" t="str">
        <f>'EMA R1'!S10</f>
        <v>2026 vs. 2025</v>
      </c>
      <c r="T10" s="32"/>
      <c r="U10" s="23"/>
      <c r="V10" s="32" t="str">
        <f>'EMA R1'!V10</f>
        <v>2027 Illustrative Monthly Bill</v>
      </c>
      <c r="W10" s="32"/>
      <c r="X10" s="32"/>
      <c r="Y10" s="33"/>
      <c r="Z10" s="32" t="str">
        <f>'EMA R1'!Z10</f>
        <v>2027 vs. 2026</v>
      </c>
      <c r="AA10" s="32"/>
    </row>
    <row r="11" spans="1:27" ht="14" x14ac:dyDescent="0.3">
      <c r="A11" s="57">
        <f t="shared" si="0"/>
        <v>11</v>
      </c>
      <c r="B11" s="31"/>
      <c r="C11" s="34" t="s">
        <v>47</v>
      </c>
      <c r="D11" s="34" t="s">
        <v>48</v>
      </c>
      <c r="E11" s="34" t="s">
        <v>49</v>
      </c>
      <c r="F11" s="34" t="s">
        <v>50</v>
      </c>
      <c r="G11" s="34"/>
      <c r="H11" s="34" t="s">
        <v>48</v>
      </c>
      <c r="I11" s="34" t="s">
        <v>49</v>
      </c>
      <c r="J11" s="34" t="s">
        <v>50</v>
      </c>
      <c r="K11" s="23"/>
      <c r="L11" s="34" t="s">
        <v>51</v>
      </c>
      <c r="M11" s="34" t="s">
        <v>14</v>
      </c>
      <c r="N11" s="34"/>
      <c r="O11" s="34" t="s">
        <v>48</v>
      </c>
      <c r="P11" s="34" t="s">
        <v>49</v>
      </c>
      <c r="Q11" s="34" t="s">
        <v>50</v>
      </c>
      <c r="R11" s="34"/>
      <c r="S11" s="34" t="s">
        <v>51</v>
      </c>
      <c r="T11" s="34" t="s">
        <v>14</v>
      </c>
      <c r="U11" s="23"/>
      <c r="V11" s="34" t="s">
        <v>48</v>
      </c>
      <c r="W11" s="34" t="s">
        <v>49</v>
      </c>
      <c r="X11" s="34" t="s">
        <v>50</v>
      </c>
      <c r="Y11" s="34"/>
      <c r="Z11" s="34" t="s">
        <v>51</v>
      </c>
      <c r="AA11" s="34" t="s">
        <v>14</v>
      </c>
    </row>
    <row r="12" spans="1:27" ht="14" x14ac:dyDescent="0.3">
      <c r="A12" s="57">
        <f t="shared" si="0"/>
        <v>12</v>
      </c>
      <c r="B12" s="31"/>
      <c r="C12" s="35">
        <v>100</v>
      </c>
      <c r="D12" s="36">
        <f>ROUND(SUM($H$31:$H$56)*C12,2)+H$30</f>
        <v>26.95</v>
      </c>
      <c r="E12" s="36">
        <f t="shared" ref="E12:E25" si="1">ROUND($H$57*C12,2)</f>
        <v>15.77</v>
      </c>
      <c r="F12" s="36">
        <f>SUM(D12:E12)</f>
        <v>42.72</v>
      </c>
      <c r="G12" s="36"/>
      <c r="H12" s="36">
        <f>ROUND(SUM($I$31:$I$56)*C12,2)+I$30</f>
        <v>27.81</v>
      </c>
      <c r="I12" s="36">
        <f t="shared" ref="I12:I25" si="2">ROUND($I$57*C12,2)</f>
        <v>15.77</v>
      </c>
      <c r="J12" s="36">
        <f>SUM(H12:I12)</f>
        <v>43.58</v>
      </c>
      <c r="K12" s="37"/>
      <c r="L12" s="36">
        <f>+J12-F12</f>
        <v>0.85999999999999943</v>
      </c>
      <c r="M12" s="39">
        <f>+L12/F12</f>
        <v>2.0131086142322084E-2</v>
      </c>
      <c r="N12" s="39"/>
      <c r="O12" s="36">
        <f>ROUND(SUM($J$31:$J$56)*C12,2)+J$30</f>
        <v>28.04</v>
      </c>
      <c r="P12" s="36">
        <f t="shared" ref="P12:P25" si="3">ROUND($J$57*C12,2)</f>
        <v>15.77</v>
      </c>
      <c r="Q12" s="36">
        <f>SUM(O12:P12)</f>
        <v>43.81</v>
      </c>
      <c r="R12" s="36"/>
      <c r="S12" s="36">
        <f>+Q12-J12</f>
        <v>0.23000000000000398</v>
      </c>
      <c r="T12" s="39">
        <f>+S12/J12</f>
        <v>5.2776502983020645E-3</v>
      </c>
      <c r="U12" s="23"/>
      <c r="V12" s="36">
        <f t="shared" ref="V12:V25" si="4">ROUND(SUM($L$31:$L$56)*C12,2)+L$30</f>
        <v>28.49</v>
      </c>
      <c r="W12" s="36">
        <f t="shared" ref="W12:W25" si="5">ROUND($L$57*C12,2)</f>
        <v>15.77</v>
      </c>
      <c r="X12" s="36">
        <f>SUM(V12:W12)</f>
        <v>44.26</v>
      </c>
      <c r="Y12" s="36"/>
      <c r="Z12" s="36">
        <f>X12-Q12</f>
        <v>0.44999999999999574</v>
      </c>
      <c r="AA12" s="39">
        <f>+Z12/Q12</f>
        <v>1.0271627482309876E-2</v>
      </c>
    </row>
    <row r="13" spans="1:27" ht="14" x14ac:dyDescent="0.3">
      <c r="A13" s="57">
        <f t="shared" si="0"/>
        <v>13</v>
      </c>
      <c r="B13" s="31"/>
      <c r="C13" s="35">
        <v>200</v>
      </c>
      <c r="D13" s="36">
        <f t="shared" ref="D13:D25" si="6">ROUND(SUM($H$31:$H$56)*C13,2)+H$30</f>
        <v>43.9</v>
      </c>
      <c r="E13" s="36">
        <f t="shared" si="1"/>
        <v>31.54</v>
      </c>
      <c r="F13" s="36">
        <f t="shared" ref="F13:F25" si="7">SUM(D13:E13)</f>
        <v>75.44</v>
      </c>
      <c r="G13" s="36"/>
      <c r="H13" s="36">
        <f t="shared" ref="H13:H25" si="8">ROUND(SUM($I$31:$I$56)*C13,2)+I$30</f>
        <v>45.61</v>
      </c>
      <c r="I13" s="36">
        <f t="shared" si="2"/>
        <v>31.54</v>
      </c>
      <c r="J13" s="36">
        <f t="shared" ref="J13:J25" si="9">SUM(H13:I13)</f>
        <v>77.150000000000006</v>
      </c>
      <c r="K13" s="37"/>
      <c r="L13" s="36">
        <f t="shared" ref="L13:L25" si="10">+J13-F13</f>
        <v>1.710000000000008</v>
      </c>
      <c r="M13" s="39">
        <f t="shared" ref="M13:M25" si="11">+L13/F13</f>
        <v>2.2667020148462461E-2</v>
      </c>
      <c r="N13" s="39"/>
      <c r="O13" s="36">
        <f t="shared" ref="O13:O25" si="12">ROUND(SUM($J$31:$J$56)*C13,2)+J$30</f>
        <v>46.07</v>
      </c>
      <c r="P13" s="36">
        <f t="shared" si="3"/>
        <v>31.54</v>
      </c>
      <c r="Q13" s="36">
        <f t="shared" ref="Q13:Q25" si="13">SUM(O13:P13)</f>
        <v>77.61</v>
      </c>
      <c r="R13" s="36"/>
      <c r="S13" s="36">
        <f t="shared" ref="S13:S25" si="14">+Q13-J13</f>
        <v>0.45999999999999375</v>
      </c>
      <c r="T13" s="39">
        <f t="shared" ref="T13:T25" si="15">+S13/J13</f>
        <v>5.9624108878806705E-3</v>
      </c>
      <c r="U13" s="23"/>
      <c r="V13" s="36">
        <f t="shared" si="4"/>
        <v>46.97</v>
      </c>
      <c r="W13" s="36">
        <f t="shared" si="5"/>
        <v>31.54</v>
      </c>
      <c r="X13" s="36">
        <f t="shared" ref="X13:X25" si="16">SUM(V13:W13)</f>
        <v>78.509999999999991</v>
      </c>
      <c r="Y13" s="36"/>
      <c r="Z13" s="36">
        <f t="shared" ref="Z13:Z25" si="17">X13-Q13</f>
        <v>0.89999999999999147</v>
      </c>
      <c r="AA13" s="39">
        <f t="shared" ref="AA13:AA25" si="18">+Z13/Q13</f>
        <v>1.1596443757247667E-2</v>
      </c>
    </row>
    <row r="14" spans="1:27" ht="14" x14ac:dyDescent="0.3">
      <c r="A14" s="57">
        <f t="shared" si="0"/>
        <v>14</v>
      </c>
      <c r="B14" s="31"/>
      <c r="C14" s="35">
        <v>300</v>
      </c>
      <c r="D14" s="36">
        <f t="shared" si="6"/>
        <v>60.85</v>
      </c>
      <c r="E14" s="36">
        <f t="shared" si="1"/>
        <v>47.32</v>
      </c>
      <c r="F14" s="36">
        <f t="shared" si="7"/>
        <v>108.17</v>
      </c>
      <c r="G14" s="36"/>
      <c r="H14" s="36">
        <f t="shared" si="8"/>
        <v>63.42</v>
      </c>
      <c r="I14" s="36">
        <f t="shared" si="2"/>
        <v>47.32</v>
      </c>
      <c r="J14" s="36">
        <f t="shared" si="9"/>
        <v>110.74000000000001</v>
      </c>
      <c r="K14" s="37"/>
      <c r="L14" s="36">
        <f t="shared" si="10"/>
        <v>2.5700000000000074</v>
      </c>
      <c r="M14" s="39">
        <f t="shared" si="11"/>
        <v>2.3758898030877391E-2</v>
      </c>
      <c r="N14" s="39"/>
      <c r="O14" s="36">
        <f t="shared" si="12"/>
        <v>64.11</v>
      </c>
      <c r="P14" s="36">
        <f t="shared" si="3"/>
        <v>47.32</v>
      </c>
      <c r="Q14" s="36">
        <f t="shared" si="13"/>
        <v>111.43</v>
      </c>
      <c r="R14" s="36"/>
      <c r="S14" s="36">
        <f t="shared" si="14"/>
        <v>0.68999999999999773</v>
      </c>
      <c r="T14" s="39">
        <f t="shared" si="15"/>
        <v>6.2308109084341489E-3</v>
      </c>
      <c r="U14" s="23"/>
      <c r="V14" s="36">
        <f>ROUND(SUM($L$31:$L$56)*C14,2)+L$30</f>
        <v>65.460000000000008</v>
      </c>
      <c r="W14" s="36">
        <f t="shared" si="5"/>
        <v>47.32</v>
      </c>
      <c r="X14" s="36">
        <f t="shared" si="16"/>
        <v>112.78</v>
      </c>
      <c r="Y14" s="36"/>
      <c r="Z14" s="36">
        <f t="shared" si="17"/>
        <v>1.3499999999999943</v>
      </c>
      <c r="AA14" s="39">
        <f t="shared" si="18"/>
        <v>1.2115229291932103E-2</v>
      </c>
    </row>
    <row r="15" spans="1:27" ht="14" x14ac:dyDescent="0.3">
      <c r="A15" s="57">
        <f t="shared" si="0"/>
        <v>15</v>
      </c>
      <c r="B15" s="31"/>
      <c r="C15" s="35">
        <v>400</v>
      </c>
      <c r="D15" s="36">
        <f t="shared" si="6"/>
        <v>77.8</v>
      </c>
      <c r="E15" s="36">
        <f>ROUND($H$57*C15,2)</f>
        <v>63.09</v>
      </c>
      <c r="F15" s="36">
        <f t="shared" si="7"/>
        <v>140.88999999999999</v>
      </c>
      <c r="G15" s="36"/>
      <c r="H15" s="36">
        <f t="shared" si="8"/>
        <v>81.22</v>
      </c>
      <c r="I15" s="36">
        <f t="shared" si="2"/>
        <v>63.09</v>
      </c>
      <c r="J15" s="36">
        <f t="shared" si="9"/>
        <v>144.31</v>
      </c>
      <c r="K15" s="37"/>
      <c r="L15" s="36">
        <f t="shared" si="10"/>
        <v>3.4200000000000159</v>
      </c>
      <c r="M15" s="39">
        <f t="shared" si="11"/>
        <v>2.4274256512172732E-2</v>
      </c>
      <c r="N15" s="39"/>
      <c r="O15" s="36">
        <f>ROUND(SUM($J$31:$J$56)*C15,2)+J$30</f>
        <v>82.15</v>
      </c>
      <c r="P15" s="36">
        <f t="shared" si="3"/>
        <v>63.09</v>
      </c>
      <c r="Q15" s="36">
        <f t="shared" si="13"/>
        <v>145.24</v>
      </c>
      <c r="R15" s="36"/>
      <c r="S15" s="36">
        <f t="shared" si="14"/>
        <v>0.93000000000000682</v>
      </c>
      <c r="T15" s="39">
        <f t="shared" si="15"/>
        <v>6.4444598433927433E-3</v>
      </c>
      <c r="U15" s="23"/>
      <c r="V15" s="36">
        <f t="shared" si="4"/>
        <v>83.94</v>
      </c>
      <c r="W15" s="36">
        <f t="shared" si="5"/>
        <v>63.09</v>
      </c>
      <c r="X15" s="36">
        <f t="shared" si="16"/>
        <v>147.03</v>
      </c>
      <c r="Y15" s="36"/>
      <c r="Z15" s="36">
        <f t="shared" si="17"/>
        <v>1.789999999999992</v>
      </c>
      <c r="AA15" s="39">
        <f t="shared" si="18"/>
        <v>1.2324428532084769E-2</v>
      </c>
    </row>
    <row r="16" spans="1:27" ht="14" x14ac:dyDescent="0.3">
      <c r="A16" s="57">
        <f t="shared" si="0"/>
        <v>16</v>
      </c>
      <c r="B16" s="31"/>
      <c r="C16" s="35">
        <v>500</v>
      </c>
      <c r="D16" s="36">
        <f>ROUND(SUM($H$31:$H$56)*C16,2)+H$30</f>
        <v>94.75</v>
      </c>
      <c r="E16" s="36">
        <f t="shared" si="1"/>
        <v>78.86</v>
      </c>
      <c r="F16" s="36">
        <f t="shared" si="7"/>
        <v>173.61</v>
      </c>
      <c r="G16" s="36"/>
      <c r="H16" s="36">
        <f t="shared" si="8"/>
        <v>99.03</v>
      </c>
      <c r="I16" s="36">
        <f t="shared" si="2"/>
        <v>78.86</v>
      </c>
      <c r="J16" s="36">
        <f t="shared" si="9"/>
        <v>177.89</v>
      </c>
      <c r="K16" s="37"/>
      <c r="L16" s="36">
        <f t="shared" si="10"/>
        <v>4.2799999999999727</v>
      </c>
      <c r="M16" s="39">
        <f t="shared" si="11"/>
        <v>2.4652957778929625E-2</v>
      </c>
      <c r="N16" s="39"/>
      <c r="O16" s="36">
        <f t="shared" si="12"/>
        <v>100.19</v>
      </c>
      <c r="P16" s="36">
        <f t="shared" si="3"/>
        <v>78.86</v>
      </c>
      <c r="Q16" s="36">
        <f t="shared" si="13"/>
        <v>179.05</v>
      </c>
      <c r="R16" s="36"/>
      <c r="S16" s="36">
        <f t="shared" si="14"/>
        <v>1.160000000000025</v>
      </c>
      <c r="T16" s="39">
        <f t="shared" si="15"/>
        <v>6.5208836921694588E-3</v>
      </c>
      <c r="U16" s="23"/>
      <c r="V16" s="36">
        <f t="shared" si="4"/>
        <v>102.43</v>
      </c>
      <c r="W16" s="36">
        <f t="shared" si="5"/>
        <v>78.86</v>
      </c>
      <c r="X16" s="36">
        <f t="shared" si="16"/>
        <v>181.29000000000002</v>
      </c>
      <c r="Y16" s="36"/>
      <c r="Z16" s="36">
        <f t="shared" si="17"/>
        <v>2.2400000000000091</v>
      </c>
      <c r="AA16" s="39">
        <f t="shared" si="18"/>
        <v>1.2510471935213678E-2</v>
      </c>
    </row>
    <row r="17" spans="1:27" ht="14" x14ac:dyDescent="0.3">
      <c r="A17" s="57">
        <f t="shared" si="0"/>
        <v>17</v>
      </c>
      <c r="B17" s="31"/>
      <c r="C17" s="35">
        <v>600</v>
      </c>
      <c r="D17" s="36">
        <f t="shared" si="6"/>
        <v>111.69</v>
      </c>
      <c r="E17" s="36">
        <f t="shared" si="1"/>
        <v>94.63</v>
      </c>
      <c r="F17" s="36">
        <f t="shared" si="7"/>
        <v>206.32</v>
      </c>
      <c r="G17" s="36"/>
      <c r="H17" s="36">
        <f>ROUND(SUM($I$31:$I$56)*C17,2)+I$30</f>
        <v>116.84</v>
      </c>
      <c r="I17" s="36">
        <f t="shared" si="2"/>
        <v>94.63</v>
      </c>
      <c r="J17" s="36">
        <f t="shared" si="9"/>
        <v>211.47</v>
      </c>
      <c r="K17" s="37"/>
      <c r="L17" s="36">
        <f t="shared" si="10"/>
        <v>5.1500000000000057</v>
      </c>
      <c r="M17" s="39">
        <f t="shared" si="11"/>
        <v>2.4961225281116741E-2</v>
      </c>
      <c r="N17" s="39"/>
      <c r="O17" s="36">
        <f t="shared" si="12"/>
        <v>118.22</v>
      </c>
      <c r="P17" s="36">
        <f t="shared" si="3"/>
        <v>94.63</v>
      </c>
      <c r="Q17" s="36">
        <f t="shared" si="13"/>
        <v>212.85</v>
      </c>
      <c r="R17" s="36"/>
      <c r="S17" s="36">
        <f t="shared" si="14"/>
        <v>1.3799999999999955</v>
      </c>
      <c r="T17" s="39">
        <f t="shared" si="15"/>
        <v>6.5257483330968718E-3</v>
      </c>
      <c r="U17" s="23"/>
      <c r="V17" s="36">
        <f t="shared" si="4"/>
        <v>120.91</v>
      </c>
      <c r="W17" s="36">
        <f t="shared" si="5"/>
        <v>94.63</v>
      </c>
      <c r="X17" s="36">
        <f t="shared" si="16"/>
        <v>215.54</v>
      </c>
      <c r="Y17" s="36"/>
      <c r="Z17" s="36">
        <f t="shared" si="17"/>
        <v>2.6899999999999977</v>
      </c>
      <c r="AA17" s="39">
        <f t="shared" si="18"/>
        <v>1.2638007986845185E-2</v>
      </c>
    </row>
    <row r="18" spans="1:27" ht="14" x14ac:dyDescent="0.3">
      <c r="A18" s="57">
        <f t="shared" si="0"/>
        <v>18</v>
      </c>
      <c r="B18" s="31"/>
      <c r="C18" s="35">
        <v>700</v>
      </c>
      <c r="D18" s="36">
        <f t="shared" si="6"/>
        <v>128.63999999999999</v>
      </c>
      <c r="E18" s="36">
        <f t="shared" si="1"/>
        <v>110.4</v>
      </c>
      <c r="F18" s="36">
        <f t="shared" si="7"/>
        <v>239.04</v>
      </c>
      <c r="G18" s="36"/>
      <c r="H18" s="36">
        <f t="shared" si="8"/>
        <v>134.63999999999999</v>
      </c>
      <c r="I18" s="36">
        <f>ROUND($I$57*C18,2)</f>
        <v>110.4</v>
      </c>
      <c r="J18" s="36">
        <f t="shared" si="9"/>
        <v>245.04</v>
      </c>
      <c r="K18" s="37"/>
      <c r="L18" s="36">
        <f t="shared" si="10"/>
        <v>6</v>
      </c>
      <c r="M18" s="39">
        <f t="shared" si="11"/>
        <v>2.5100401606425703E-2</v>
      </c>
      <c r="N18" s="39"/>
      <c r="O18" s="36">
        <f t="shared" si="12"/>
        <v>136.26</v>
      </c>
      <c r="P18" s="36">
        <f t="shared" si="3"/>
        <v>110.4</v>
      </c>
      <c r="Q18" s="36">
        <f t="shared" si="13"/>
        <v>246.66</v>
      </c>
      <c r="R18" s="36"/>
      <c r="S18" s="36">
        <f t="shared" si="14"/>
        <v>1.6200000000000045</v>
      </c>
      <c r="T18" s="39">
        <f t="shared" si="15"/>
        <v>6.6111655239961013E-3</v>
      </c>
      <c r="U18" s="23"/>
      <c r="V18" s="36">
        <f t="shared" si="4"/>
        <v>139.4</v>
      </c>
      <c r="W18" s="36">
        <f>ROUND($L$57*C18,2)</f>
        <v>110.4</v>
      </c>
      <c r="X18" s="36">
        <f t="shared" si="16"/>
        <v>249.8</v>
      </c>
      <c r="Y18" s="36"/>
      <c r="Z18" s="36">
        <f t="shared" si="17"/>
        <v>3.1400000000000148</v>
      </c>
      <c r="AA18" s="39">
        <f t="shared" si="18"/>
        <v>1.2730073785778053E-2</v>
      </c>
    </row>
    <row r="19" spans="1:27" ht="14" x14ac:dyDescent="0.3">
      <c r="A19" s="57">
        <f t="shared" si="0"/>
        <v>19</v>
      </c>
      <c r="B19" s="31"/>
      <c r="C19" s="35">
        <v>800</v>
      </c>
      <c r="D19" s="36">
        <f t="shared" si="6"/>
        <v>145.59</v>
      </c>
      <c r="E19" s="36">
        <f t="shared" si="1"/>
        <v>126.18</v>
      </c>
      <c r="F19" s="36">
        <f t="shared" si="7"/>
        <v>271.77</v>
      </c>
      <c r="G19" s="36"/>
      <c r="H19" s="36">
        <f t="shared" si="8"/>
        <v>152.44999999999999</v>
      </c>
      <c r="I19" s="36">
        <f>ROUND($I$57*C19,2)</f>
        <v>126.18</v>
      </c>
      <c r="J19" s="36">
        <f t="shared" si="9"/>
        <v>278.63</v>
      </c>
      <c r="K19" s="37"/>
      <c r="L19" s="36">
        <f t="shared" si="10"/>
        <v>6.8600000000000136</v>
      </c>
      <c r="M19" s="39">
        <f t="shared" si="11"/>
        <v>2.524193251646618E-2</v>
      </c>
      <c r="N19" s="39"/>
      <c r="O19" s="36">
        <f t="shared" si="12"/>
        <v>154.30000000000001</v>
      </c>
      <c r="P19" s="36">
        <f>ROUND($J$57*C19,2)</f>
        <v>126.18</v>
      </c>
      <c r="Q19" s="36">
        <f t="shared" si="13"/>
        <v>280.48</v>
      </c>
      <c r="R19" s="36"/>
      <c r="S19" s="36">
        <f t="shared" si="14"/>
        <v>1.8500000000000227</v>
      </c>
      <c r="T19" s="39">
        <f t="shared" si="15"/>
        <v>6.6396296163371595E-3</v>
      </c>
      <c r="U19" s="23"/>
      <c r="V19" s="36">
        <f t="shared" si="4"/>
        <v>157.88</v>
      </c>
      <c r="W19" s="36">
        <f t="shared" si="5"/>
        <v>126.18</v>
      </c>
      <c r="X19" s="36">
        <f t="shared" si="16"/>
        <v>284.06</v>
      </c>
      <c r="Y19" s="36"/>
      <c r="Z19" s="36">
        <f t="shared" si="17"/>
        <v>3.5799999999999841</v>
      </c>
      <c r="AA19" s="39">
        <f t="shared" si="18"/>
        <v>1.2763833428408386E-2</v>
      </c>
    </row>
    <row r="20" spans="1:27" ht="14" x14ac:dyDescent="0.3">
      <c r="A20" s="57">
        <f t="shared" si="0"/>
        <v>20</v>
      </c>
      <c r="B20" s="31"/>
      <c r="C20" s="35">
        <v>900</v>
      </c>
      <c r="D20" s="36">
        <f t="shared" si="6"/>
        <v>162.54</v>
      </c>
      <c r="E20" s="36">
        <f t="shared" si="1"/>
        <v>141.94999999999999</v>
      </c>
      <c r="F20" s="36">
        <f t="shared" si="7"/>
        <v>304.49</v>
      </c>
      <c r="G20" s="36"/>
      <c r="H20" s="36">
        <f>ROUND(SUM($I$31:$I$56)*C20,2)+I$30</f>
        <v>170.25</v>
      </c>
      <c r="I20" s="36">
        <f t="shared" si="2"/>
        <v>141.94999999999999</v>
      </c>
      <c r="J20" s="36">
        <f t="shared" si="9"/>
        <v>312.2</v>
      </c>
      <c r="K20" s="37"/>
      <c r="L20" s="36">
        <f t="shared" si="10"/>
        <v>7.7099999999999795</v>
      </c>
      <c r="M20" s="39">
        <f t="shared" si="11"/>
        <v>2.5321028605208643E-2</v>
      </c>
      <c r="N20" s="39"/>
      <c r="O20" s="36">
        <f t="shared" si="12"/>
        <v>172.33</v>
      </c>
      <c r="P20" s="36">
        <f t="shared" si="3"/>
        <v>141.94999999999999</v>
      </c>
      <c r="Q20" s="36">
        <f t="shared" si="13"/>
        <v>314.27999999999997</v>
      </c>
      <c r="R20" s="36"/>
      <c r="S20" s="36">
        <f>+Q20-J20</f>
        <v>2.0799999999999841</v>
      </c>
      <c r="T20" s="39">
        <f t="shared" si="15"/>
        <v>6.6623959000640109E-3</v>
      </c>
      <c r="U20" s="23"/>
      <c r="V20" s="36">
        <f>ROUND(SUM($L$31:$L$56)*C20,2)+L$30</f>
        <v>176.37</v>
      </c>
      <c r="W20" s="36">
        <f t="shared" si="5"/>
        <v>141.94999999999999</v>
      </c>
      <c r="X20" s="36">
        <f t="shared" si="16"/>
        <v>318.32</v>
      </c>
      <c r="Y20" s="36"/>
      <c r="Z20" s="36">
        <f t="shared" si="17"/>
        <v>4.0400000000000205</v>
      </c>
      <c r="AA20" s="39">
        <f t="shared" si="18"/>
        <v>1.2854779177803298E-2</v>
      </c>
    </row>
    <row r="21" spans="1:27" ht="14" x14ac:dyDescent="0.3">
      <c r="A21" s="57">
        <f t="shared" si="0"/>
        <v>21</v>
      </c>
      <c r="B21" s="31"/>
      <c r="C21" s="35">
        <v>1000</v>
      </c>
      <c r="D21" s="36">
        <f t="shared" si="6"/>
        <v>179.49</v>
      </c>
      <c r="E21" s="36">
        <f t="shared" si="1"/>
        <v>157.72</v>
      </c>
      <c r="F21" s="36">
        <f t="shared" si="7"/>
        <v>337.21000000000004</v>
      </c>
      <c r="G21" s="36"/>
      <c r="H21" s="36">
        <f t="shared" si="8"/>
        <v>188.06</v>
      </c>
      <c r="I21" s="36">
        <f t="shared" si="2"/>
        <v>157.72</v>
      </c>
      <c r="J21" s="36">
        <f t="shared" si="9"/>
        <v>345.78</v>
      </c>
      <c r="K21" s="37"/>
      <c r="L21" s="36">
        <f>+J21-F21</f>
        <v>8.5699999999999363</v>
      </c>
      <c r="M21" s="39">
        <f>+L21/F21</f>
        <v>2.5414430177040821E-2</v>
      </c>
      <c r="N21" s="39"/>
      <c r="O21" s="36">
        <f>ROUND(SUM($J$31:$J$56)*C21,2)+J$30</f>
        <v>190.37</v>
      </c>
      <c r="P21" s="36">
        <f t="shared" si="3"/>
        <v>157.72</v>
      </c>
      <c r="Q21" s="36">
        <f t="shared" si="13"/>
        <v>348.09000000000003</v>
      </c>
      <c r="R21" s="36"/>
      <c r="S21" s="36">
        <f t="shared" si="14"/>
        <v>2.3100000000000591</v>
      </c>
      <c r="T21" s="39">
        <f t="shared" si="15"/>
        <v>6.6805483255250719E-3</v>
      </c>
      <c r="U21" s="23"/>
      <c r="V21" s="36">
        <f t="shared" si="4"/>
        <v>194.85</v>
      </c>
      <c r="W21" s="36">
        <f t="shared" si="5"/>
        <v>157.72</v>
      </c>
      <c r="X21" s="36">
        <f t="shared" si="16"/>
        <v>352.57</v>
      </c>
      <c r="Y21" s="36"/>
      <c r="Z21" s="36">
        <f t="shared" si="17"/>
        <v>4.4799999999999613</v>
      </c>
      <c r="AA21" s="39">
        <f t="shared" si="18"/>
        <v>1.2870234709414119E-2</v>
      </c>
    </row>
    <row r="22" spans="1:27" ht="14" x14ac:dyDescent="0.3">
      <c r="A22" s="57">
        <f t="shared" si="0"/>
        <v>22</v>
      </c>
      <c r="B22" s="31"/>
      <c r="C22" s="35">
        <v>1250</v>
      </c>
      <c r="D22" s="36">
        <f t="shared" si="6"/>
        <v>221.86</v>
      </c>
      <c r="E22" s="36">
        <f t="shared" si="1"/>
        <v>197.15</v>
      </c>
      <c r="F22" s="36">
        <f t="shared" si="7"/>
        <v>419.01</v>
      </c>
      <c r="G22" s="36"/>
      <c r="H22" s="36">
        <f t="shared" si="8"/>
        <v>232.58</v>
      </c>
      <c r="I22" s="36">
        <f t="shared" si="2"/>
        <v>197.15</v>
      </c>
      <c r="J22" s="36">
        <f t="shared" si="9"/>
        <v>429.73</v>
      </c>
      <c r="K22" s="37"/>
      <c r="L22" s="36">
        <f t="shared" si="10"/>
        <v>10.720000000000027</v>
      </c>
      <c r="M22" s="39">
        <f t="shared" si="11"/>
        <v>2.5584114937591055E-2</v>
      </c>
      <c r="N22" s="39"/>
      <c r="O22" s="36">
        <f t="shared" si="12"/>
        <v>235.46</v>
      </c>
      <c r="P22" s="36">
        <f>ROUND($J$57*C22,2)</f>
        <v>197.15</v>
      </c>
      <c r="Q22" s="36">
        <f t="shared" si="13"/>
        <v>432.61</v>
      </c>
      <c r="R22" s="36"/>
      <c r="S22" s="36">
        <f t="shared" si="14"/>
        <v>2.8799999999999955</v>
      </c>
      <c r="T22" s="39">
        <f t="shared" si="15"/>
        <v>6.7018825774323304E-3</v>
      </c>
      <c r="U22" s="23"/>
      <c r="V22" s="36">
        <f t="shared" si="4"/>
        <v>241.06</v>
      </c>
      <c r="W22" s="36">
        <f>ROUND($L$57*C22,2)</f>
        <v>197.15</v>
      </c>
      <c r="X22" s="36">
        <f t="shared" si="16"/>
        <v>438.21000000000004</v>
      </c>
      <c r="Y22" s="36"/>
      <c r="Z22" s="36">
        <f t="shared" si="17"/>
        <v>5.6000000000000227</v>
      </c>
      <c r="AA22" s="39">
        <f t="shared" si="18"/>
        <v>1.294468458889074E-2</v>
      </c>
    </row>
    <row r="23" spans="1:27" ht="14" x14ac:dyDescent="0.3">
      <c r="A23" s="57">
        <f t="shared" si="0"/>
        <v>23</v>
      </c>
      <c r="B23" s="31"/>
      <c r="C23" s="35">
        <v>1500</v>
      </c>
      <c r="D23" s="36">
        <f t="shared" si="6"/>
        <v>264.24</v>
      </c>
      <c r="E23" s="36">
        <f t="shared" si="1"/>
        <v>236.58</v>
      </c>
      <c r="F23" s="36">
        <f t="shared" si="7"/>
        <v>500.82000000000005</v>
      </c>
      <c r="G23" s="36"/>
      <c r="H23" s="36">
        <f t="shared" si="8"/>
        <v>277.08999999999997</v>
      </c>
      <c r="I23" s="36">
        <f t="shared" si="2"/>
        <v>236.58</v>
      </c>
      <c r="J23" s="36">
        <f t="shared" si="9"/>
        <v>513.66999999999996</v>
      </c>
      <c r="K23" s="37"/>
      <c r="L23" s="36">
        <f t="shared" si="10"/>
        <v>12.849999999999909</v>
      </c>
      <c r="M23" s="39">
        <f t="shared" si="11"/>
        <v>2.5657921009544164E-2</v>
      </c>
      <c r="N23" s="39"/>
      <c r="O23" s="36">
        <f t="shared" si="12"/>
        <v>280.56</v>
      </c>
      <c r="P23" s="36">
        <f t="shared" si="3"/>
        <v>236.58</v>
      </c>
      <c r="Q23" s="36">
        <f t="shared" si="13"/>
        <v>517.14</v>
      </c>
      <c r="R23" s="36"/>
      <c r="S23" s="36">
        <f t="shared" si="14"/>
        <v>3.4700000000000273</v>
      </c>
      <c r="T23" s="39">
        <f t="shared" si="15"/>
        <v>6.7553098292678715E-3</v>
      </c>
      <c r="U23" s="23"/>
      <c r="V23" s="36">
        <f t="shared" si="4"/>
        <v>287.27999999999997</v>
      </c>
      <c r="W23" s="36">
        <f t="shared" si="5"/>
        <v>236.58</v>
      </c>
      <c r="X23" s="36">
        <f t="shared" si="16"/>
        <v>523.86</v>
      </c>
      <c r="Y23" s="36"/>
      <c r="Z23" s="36">
        <f t="shared" si="17"/>
        <v>6.7200000000000273</v>
      </c>
      <c r="AA23" s="39">
        <f t="shared" si="18"/>
        <v>1.2994546931198569E-2</v>
      </c>
    </row>
    <row r="24" spans="1:27" ht="14" x14ac:dyDescent="0.3">
      <c r="A24" s="57">
        <f t="shared" si="0"/>
        <v>24</v>
      </c>
      <c r="B24" s="31"/>
      <c r="C24" s="35">
        <v>2000</v>
      </c>
      <c r="D24" s="36">
        <f t="shared" si="6"/>
        <v>348.98</v>
      </c>
      <c r="E24" s="36">
        <f t="shared" si="1"/>
        <v>315.44</v>
      </c>
      <c r="F24" s="36">
        <f t="shared" si="7"/>
        <v>664.42000000000007</v>
      </c>
      <c r="G24" s="36"/>
      <c r="H24" s="36">
        <f t="shared" si="8"/>
        <v>366.12</v>
      </c>
      <c r="I24" s="36">
        <f t="shared" si="2"/>
        <v>315.44</v>
      </c>
      <c r="J24" s="36">
        <f t="shared" si="9"/>
        <v>681.56</v>
      </c>
      <c r="K24" s="37"/>
      <c r="L24" s="36">
        <f t="shared" si="10"/>
        <v>17.139999999999873</v>
      </c>
      <c r="M24" s="39">
        <f t="shared" si="11"/>
        <v>2.5796935673218554E-2</v>
      </c>
      <c r="N24" s="39"/>
      <c r="O24" s="36">
        <f t="shared" si="12"/>
        <v>370.74</v>
      </c>
      <c r="P24" s="36">
        <f t="shared" si="3"/>
        <v>315.44</v>
      </c>
      <c r="Q24" s="36">
        <f t="shared" si="13"/>
        <v>686.18000000000006</v>
      </c>
      <c r="R24" s="36"/>
      <c r="S24" s="36">
        <f t="shared" si="14"/>
        <v>4.6200000000001182</v>
      </c>
      <c r="T24" s="39">
        <f t="shared" si="15"/>
        <v>6.7785668173016593E-3</v>
      </c>
      <c r="U24" s="23"/>
      <c r="V24" s="36">
        <f t="shared" si="4"/>
        <v>379.7</v>
      </c>
      <c r="W24" s="36">
        <f t="shared" si="5"/>
        <v>315.44</v>
      </c>
      <c r="X24" s="36">
        <f t="shared" si="16"/>
        <v>695.14</v>
      </c>
      <c r="Y24" s="36"/>
      <c r="Z24" s="36">
        <f t="shared" si="17"/>
        <v>8.9599999999999227</v>
      </c>
      <c r="AA24" s="39">
        <f t="shared" si="18"/>
        <v>1.3057798245358247E-2</v>
      </c>
    </row>
    <row r="25" spans="1:27" ht="14" x14ac:dyDescent="0.3">
      <c r="A25" s="57">
        <f t="shared" si="0"/>
        <v>25</v>
      </c>
      <c r="B25" s="31" t="s">
        <v>52</v>
      </c>
      <c r="C25" s="35">
        <v>745</v>
      </c>
      <c r="D25" s="36">
        <f t="shared" si="6"/>
        <v>136.26999999999998</v>
      </c>
      <c r="E25" s="36">
        <f t="shared" si="1"/>
        <v>117.5</v>
      </c>
      <c r="F25" s="36">
        <f t="shared" si="7"/>
        <v>253.76999999999998</v>
      </c>
      <c r="G25" s="36"/>
      <c r="H25" s="36">
        <f t="shared" si="8"/>
        <v>142.65</v>
      </c>
      <c r="I25" s="36">
        <f t="shared" si="2"/>
        <v>117.5</v>
      </c>
      <c r="J25" s="36">
        <f t="shared" si="9"/>
        <v>260.14999999999998</v>
      </c>
      <c r="K25" s="37"/>
      <c r="L25" s="36">
        <f t="shared" si="10"/>
        <v>6.3799999999999955</v>
      </c>
      <c r="M25" s="39">
        <f t="shared" si="11"/>
        <v>2.5140875596012122E-2</v>
      </c>
      <c r="N25" s="39"/>
      <c r="O25" s="36">
        <f t="shared" si="12"/>
        <v>144.38</v>
      </c>
      <c r="P25" s="36">
        <f t="shared" si="3"/>
        <v>117.5</v>
      </c>
      <c r="Q25" s="36">
        <f t="shared" si="13"/>
        <v>261.88</v>
      </c>
      <c r="R25" s="36"/>
      <c r="S25" s="36">
        <f t="shared" si="14"/>
        <v>1.7300000000000182</v>
      </c>
      <c r="T25" s="39">
        <f t="shared" si="15"/>
        <v>6.6500096098405471E-3</v>
      </c>
      <c r="U25" s="23"/>
      <c r="V25" s="36">
        <f t="shared" si="4"/>
        <v>147.71</v>
      </c>
      <c r="W25" s="36">
        <f t="shared" si="5"/>
        <v>117.5</v>
      </c>
      <c r="X25" s="36">
        <f t="shared" si="16"/>
        <v>265.21000000000004</v>
      </c>
      <c r="Y25" s="36"/>
      <c r="Z25" s="36">
        <f t="shared" si="17"/>
        <v>3.3300000000000409</v>
      </c>
      <c r="AA25" s="39">
        <f t="shared" si="18"/>
        <v>1.2715747670689021E-2</v>
      </c>
    </row>
    <row r="26" spans="1:27" ht="14" x14ac:dyDescent="0.3">
      <c r="A26" s="57">
        <f t="shared" si="0"/>
        <v>26</v>
      </c>
      <c r="B26" s="31"/>
      <c r="C26" s="41"/>
      <c r="D26" s="42"/>
      <c r="E26" s="42"/>
      <c r="F26" s="42"/>
      <c r="G26" s="43"/>
      <c r="H26" s="42"/>
      <c r="I26" s="42"/>
      <c r="J26" s="42"/>
      <c r="K26" s="43"/>
      <c r="L26" s="43"/>
      <c r="X26" s="40"/>
    </row>
    <row r="27" spans="1:27" ht="14" x14ac:dyDescent="0.3">
      <c r="A27" s="57">
        <f t="shared" si="0"/>
        <v>27</v>
      </c>
      <c r="B27" s="31"/>
      <c r="C27" s="41"/>
      <c r="D27" s="43"/>
      <c r="E27" s="42"/>
      <c r="F27" s="42"/>
      <c r="G27" s="43"/>
      <c r="H27" s="42"/>
      <c r="I27" s="42"/>
      <c r="J27" s="42"/>
      <c r="K27" s="43"/>
      <c r="L27" s="43"/>
      <c r="X27" s="40"/>
    </row>
    <row r="28" spans="1:27" ht="14" x14ac:dyDescent="0.3">
      <c r="A28" s="57">
        <f t="shared" si="0"/>
        <v>28</v>
      </c>
      <c r="B28" s="31"/>
      <c r="C28" s="44" t="s">
        <v>53</v>
      </c>
      <c r="D28" s="37"/>
      <c r="E28" s="37"/>
      <c r="G28" s="60"/>
      <c r="H28" s="45">
        <f>+'EMA R1'!H28</f>
        <v>2024</v>
      </c>
      <c r="I28" s="45">
        <f>+'EMA R1'!I28</f>
        <v>2025</v>
      </c>
      <c r="J28" s="45">
        <f>+'EMA R1'!J28</f>
        <v>2026</v>
      </c>
      <c r="K28" s="45"/>
      <c r="L28" s="45">
        <f>+'EMA R1'!L28</f>
        <v>2027</v>
      </c>
      <c r="M28" s="45" t="str">
        <f>+'EMA R1'!M28</f>
        <v>2025 v 2024</v>
      </c>
      <c r="N28" s="45"/>
      <c r="O28" s="45" t="str">
        <f>+'EMA R1'!O28</f>
        <v>2026 v 2025</v>
      </c>
      <c r="P28" s="45" t="str">
        <f>+'EMA R1'!P28</f>
        <v>2027 v 2026</v>
      </c>
    </row>
    <row r="29" spans="1:27" ht="14" x14ac:dyDescent="0.3">
      <c r="A29" s="57">
        <f t="shared" si="0"/>
        <v>29</v>
      </c>
      <c r="B29" s="31"/>
      <c r="C29" s="44" t="s">
        <v>53</v>
      </c>
      <c r="D29" s="37"/>
      <c r="E29" s="37"/>
      <c r="G29" s="60"/>
      <c r="H29" s="47" t="str">
        <f>+'EMA R1'!H29</f>
        <v>Rates</v>
      </c>
      <c r="I29" s="47" t="s">
        <v>57</v>
      </c>
      <c r="J29" s="47" t="s">
        <v>57</v>
      </c>
      <c r="K29" s="37"/>
      <c r="L29" s="47" t="s">
        <v>57</v>
      </c>
      <c r="M29" s="48" t="s">
        <v>51</v>
      </c>
      <c r="N29" s="22"/>
      <c r="O29" s="48" t="s">
        <v>51</v>
      </c>
      <c r="P29" s="48" t="s">
        <v>51</v>
      </c>
    </row>
    <row r="30" spans="1:27" ht="14" x14ac:dyDescent="0.3">
      <c r="A30" s="57">
        <f t="shared" si="0"/>
        <v>30</v>
      </c>
      <c r="B30" s="31"/>
      <c r="C30" s="28" t="str">
        <f>+'EMA R1'!C30</f>
        <v>Customer Charge</v>
      </c>
      <c r="D30" s="37"/>
      <c r="E30" s="37"/>
      <c r="G30" s="37"/>
      <c r="H30" s="49">
        <v>10</v>
      </c>
      <c r="I30" s="49">
        <f t="shared" ref="I30:I57" si="19">+H30</f>
        <v>10</v>
      </c>
      <c r="J30" s="49">
        <f t="shared" ref="J30:J57" si="20">H30</f>
        <v>10</v>
      </c>
      <c r="K30" s="37"/>
      <c r="L30" s="49">
        <f t="shared" ref="L30:L57" si="21">H30</f>
        <v>10</v>
      </c>
      <c r="M30" s="50">
        <f t="shared" ref="M30:M57" si="22">+I30-H30</f>
        <v>0</v>
      </c>
      <c r="N30" s="50"/>
      <c r="O30" s="50">
        <f t="shared" ref="O30:O57" si="23">+J30-I30</f>
        <v>0</v>
      </c>
      <c r="P30" s="50">
        <f t="shared" ref="P30:P57" si="24">+L30-J30</f>
        <v>0</v>
      </c>
      <c r="Q30" s="51" t="s">
        <v>59</v>
      </c>
    </row>
    <row r="31" spans="1:27" ht="14" x14ac:dyDescent="0.3">
      <c r="A31" s="57">
        <f t="shared" si="0"/>
        <v>31</v>
      </c>
      <c r="B31" s="31"/>
      <c r="C31" s="28" t="str">
        <f>+'EMA R1'!C31</f>
        <v>Distribution Energy</v>
      </c>
      <c r="D31" s="37"/>
      <c r="E31" s="37"/>
      <c r="G31" s="55"/>
      <c r="H31" s="53">
        <v>5.296E-2</v>
      </c>
      <c r="I31" s="53">
        <f t="shared" si="19"/>
        <v>5.296E-2</v>
      </c>
      <c r="J31" s="53">
        <f t="shared" si="20"/>
        <v>5.296E-2</v>
      </c>
      <c r="K31" s="37"/>
      <c r="L31" s="53">
        <f t="shared" si="21"/>
        <v>5.296E-2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51" t="s">
        <v>59</v>
      </c>
    </row>
    <row r="32" spans="1:27" ht="14" x14ac:dyDescent="0.3">
      <c r="A32" s="57">
        <f t="shared" si="0"/>
        <v>32</v>
      </c>
      <c r="B32" s="31"/>
      <c r="C32" s="52" t="s">
        <v>61</v>
      </c>
      <c r="D32" s="37"/>
      <c r="E32" s="37"/>
      <c r="G32" s="55"/>
      <c r="H32" s="53">
        <v>1.01E-3</v>
      </c>
      <c r="I32" s="53">
        <f t="shared" si="19"/>
        <v>1.01E-3</v>
      </c>
      <c r="J32" s="53">
        <f t="shared" si="20"/>
        <v>1.01E-3</v>
      </c>
      <c r="K32" s="37"/>
      <c r="L32" s="53">
        <f t="shared" si="21"/>
        <v>1.01E-3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51" t="s">
        <v>62</v>
      </c>
    </row>
    <row r="33" spans="1:17" ht="14" x14ac:dyDescent="0.3">
      <c r="A33" s="57">
        <f t="shared" si="0"/>
        <v>33</v>
      </c>
      <c r="B33" s="31"/>
      <c r="C33" s="28" t="str">
        <f>+'EMA R1'!C33</f>
        <v>Revenue Decoupling</v>
      </c>
      <c r="D33" s="37"/>
      <c r="E33" s="37"/>
      <c r="G33" s="53"/>
      <c r="H33" s="53">
        <v>6.0000000000000002E-5</v>
      </c>
      <c r="I33" s="53">
        <f t="shared" si="19"/>
        <v>6.0000000000000002E-5</v>
      </c>
      <c r="J33" s="53">
        <f t="shared" si="20"/>
        <v>6.0000000000000002E-5</v>
      </c>
      <c r="K33" s="37"/>
      <c r="L33" s="53">
        <f t="shared" si="21"/>
        <v>6.0000000000000002E-5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51" t="s">
        <v>64</v>
      </c>
    </row>
    <row r="34" spans="1:17" ht="14" x14ac:dyDescent="0.3">
      <c r="A34" s="57">
        <f t="shared" si="0"/>
        <v>34</v>
      </c>
      <c r="B34" s="31"/>
      <c r="C34" s="28" t="str">
        <f>+'EMA R1'!C34</f>
        <v>Distributed Solar Charge</v>
      </c>
      <c r="D34" s="37"/>
      <c r="E34" s="37"/>
      <c r="G34" s="53"/>
      <c r="H34" s="53">
        <v>8.0000000000000002E-3</v>
      </c>
      <c r="I34" s="53">
        <f t="shared" si="19"/>
        <v>8.0000000000000002E-3</v>
      </c>
      <c r="J34" s="53">
        <f t="shared" si="20"/>
        <v>8.0000000000000002E-3</v>
      </c>
      <c r="K34" s="37"/>
      <c r="L34" s="53">
        <f t="shared" si="21"/>
        <v>8.0000000000000002E-3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51" t="s">
        <v>66</v>
      </c>
    </row>
    <row r="35" spans="1:17" ht="14" x14ac:dyDescent="0.3">
      <c r="A35" s="57">
        <f t="shared" si="0"/>
        <v>35</v>
      </c>
      <c r="B35" s="31"/>
      <c r="C35" s="28" t="str">
        <f>+'EMA R1'!C35</f>
        <v>Residential Assistance Adjustment Factor</v>
      </c>
      <c r="D35" s="37"/>
      <c r="E35" s="37"/>
      <c r="G35" s="53"/>
      <c r="H35" s="53">
        <v>8.1600000000000006E-3</v>
      </c>
      <c r="I35" s="53">
        <f t="shared" si="19"/>
        <v>8.1600000000000006E-3</v>
      </c>
      <c r="J35" s="53">
        <f t="shared" si="20"/>
        <v>8.1600000000000006E-3</v>
      </c>
      <c r="K35" s="37"/>
      <c r="L35" s="53">
        <f t="shared" si="21"/>
        <v>8.1600000000000006E-3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51" t="s">
        <v>68</v>
      </c>
    </row>
    <row r="36" spans="1:17" ht="14" x14ac:dyDescent="0.3">
      <c r="A36" s="57">
        <f t="shared" si="0"/>
        <v>36</v>
      </c>
      <c r="B36" s="31"/>
      <c r="C36" s="28" t="str">
        <f>+'EMA R1'!C36</f>
        <v>Pension Adjustment Factor</v>
      </c>
      <c r="D36" s="37"/>
      <c r="E36" s="37"/>
      <c r="G36" s="53"/>
      <c r="H36" s="53">
        <v>8.5999999999999998E-4</v>
      </c>
      <c r="I36" s="53">
        <f t="shared" si="19"/>
        <v>8.5999999999999998E-4</v>
      </c>
      <c r="J36" s="53">
        <f t="shared" si="20"/>
        <v>8.5999999999999998E-4</v>
      </c>
      <c r="K36" s="37"/>
      <c r="L36" s="53">
        <f t="shared" si="21"/>
        <v>8.5999999999999998E-4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51" t="s">
        <v>70</v>
      </c>
    </row>
    <row r="37" spans="1:17" ht="14" x14ac:dyDescent="0.3">
      <c r="A37" s="57">
        <f t="shared" si="0"/>
        <v>37</v>
      </c>
      <c r="B37" s="31"/>
      <c r="C37" s="28" t="str">
        <f>+'EMA R1'!C37</f>
        <v>Net Metering Recovery Surcharge</v>
      </c>
      <c r="D37" s="37"/>
      <c r="E37" s="37"/>
      <c r="G37" s="53"/>
      <c r="H37" s="53">
        <v>1.6219999999999998E-2</v>
      </c>
      <c r="I37" s="53">
        <f t="shared" si="19"/>
        <v>1.6219999999999998E-2</v>
      </c>
      <c r="J37" s="53">
        <f t="shared" si="20"/>
        <v>1.6219999999999998E-2</v>
      </c>
      <c r="K37" s="37"/>
      <c r="L37" s="53">
        <f t="shared" si="21"/>
        <v>1.6219999999999998E-2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51" t="s">
        <v>72</v>
      </c>
    </row>
    <row r="38" spans="1:17" ht="14" x14ac:dyDescent="0.3">
      <c r="A38" s="57">
        <f t="shared" si="0"/>
        <v>38</v>
      </c>
      <c r="B38" s="31"/>
      <c r="C38" s="28" t="str">
        <f>+'EMA R1'!C38</f>
        <v>Long Term Renewable Contract Adjustment</v>
      </c>
      <c r="D38" s="37"/>
      <c r="E38" s="37"/>
      <c r="G38" s="53"/>
      <c r="H38" s="53">
        <v>-1.9300000000000001E-3</v>
      </c>
      <c r="I38" s="53">
        <f t="shared" si="19"/>
        <v>-1.9300000000000001E-3</v>
      </c>
      <c r="J38" s="53">
        <f t="shared" si="20"/>
        <v>-1.9300000000000001E-3</v>
      </c>
      <c r="K38" s="37"/>
      <c r="L38" s="53">
        <f t="shared" si="21"/>
        <v>-1.9300000000000001E-3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51" t="s">
        <v>74</v>
      </c>
    </row>
    <row r="39" spans="1:17" ht="14" x14ac:dyDescent="0.3">
      <c r="A39" s="57">
        <f t="shared" si="0"/>
        <v>39</v>
      </c>
      <c r="B39" s="31"/>
      <c r="C39" s="28" t="str">
        <f>+'EMA R1'!C39</f>
        <v>AG Consulting Expense</v>
      </c>
      <c r="D39" s="37"/>
      <c r="E39" s="37"/>
      <c r="G39" s="53"/>
      <c r="H39" s="53">
        <v>5.0000000000000002E-5</v>
      </c>
      <c r="I39" s="53">
        <f t="shared" si="19"/>
        <v>5.0000000000000002E-5</v>
      </c>
      <c r="J39" s="53">
        <f t="shared" si="20"/>
        <v>5.0000000000000002E-5</v>
      </c>
      <c r="K39" s="37"/>
      <c r="L39" s="53">
        <f t="shared" si="21"/>
        <v>5.0000000000000002E-5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51" t="s">
        <v>76</v>
      </c>
    </row>
    <row r="40" spans="1:17" ht="14" x14ac:dyDescent="0.3">
      <c r="A40" s="57">
        <f t="shared" si="0"/>
        <v>40</v>
      </c>
      <c r="B40" s="31"/>
      <c r="C40" s="28" t="str">
        <f>+'EMA R1'!C40</f>
        <v>Storm Cost Recovery Adjustment Factor</v>
      </c>
      <c r="D40" s="37"/>
      <c r="E40" s="37"/>
      <c r="G40" s="53"/>
      <c r="H40" s="53">
        <v>6.6299999999999996E-3</v>
      </c>
      <c r="I40" s="53">
        <f t="shared" si="19"/>
        <v>6.6299999999999996E-3</v>
      </c>
      <c r="J40" s="53">
        <f t="shared" si="20"/>
        <v>6.6299999999999996E-3</v>
      </c>
      <c r="K40" s="37"/>
      <c r="L40" s="53">
        <f t="shared" si="21"/>
        <v>6.6299999999999996E-3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51" t="s">
        <v>78</v>
      </c>
    </row>
    <row r="41" spans="1:17" ht="14" x14ac:dyDescent="0.3">
      <c r="A41" s="57">
        <f t="shared" si="0"/>
        <v>41</v>
      </c>
      <c r="B41" s="31"/>
      <c r="C41" s="28" t="str">
        <f>+'EMA R1'!C41</f>
        <v>Storm Reserve Adjustment</v>
      </c>
      <c r="D41" s="37"/>
      <c r="E41" s="37"/>
      <c r="G41" s="53"/>
      <c r="H41" s="53">
        <v>0</v>
      </c>
      <c r="I41" s="53">
        <f t="shared" si="19"/>
        <v>0</v>
      </c>
      <c r="J41" s="53">
        <f t="shared" si="20"/>
        <v>0</v>
      </c>
      <c r="K41" s="37"/>
      <c r="L41" s="53">
        <f t="shared" si="21"/>
        <v>0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51" t="s">
        <v>80</v>
      </c>
    </row>
    <row r="42" spans="1:17" ht="14" x14ac:dyDescent="0.3">
      <c r="A42" s="57">
        <f t="shared" si="0"/>
        <v>42</v>
      </c>
      <c r="B42" s="31"/>
      <c r="C42" s="28" t="str">
        <f>+'EMA R1'!C42</f>
        <v>Basic Service Cost True Up Factor</v>
      </c>
      <c r="D42" s="37"/>
      <c r="E42" s="37"/>
      <c r="G42" s="53"/>
      <c r="H42" s="53">
        <v>-4.6000000000000001E-4</v>
      </c>
      <c r="I42" s="53">
        <f t="shared" si="19"/>
        <v>-4.6000000000000001E-4</v>
      </c>
      <c r="J42" s="53">
        <f t="shared" si="20"/>
        <v>-4.6000000000000001E-4</v>
      </c>
      <c r="K42" s="37"/>
      <c r="L42" s="53">
        <f t="shared" si="21"/>
        <v>-4.6000000000000001E-4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51" t="s">
        <v>82</v>
      </c>
    </row>
    <row r="43" spans="1:17" ht="14" x14ac:dyDescent="0.3">
      <c r="A43" s="57">
        <f t="shared" si="0"/>
        <v>43</v>
      </c>
      <c r="B43" s="31"/>
      <c r="C43" s="28" t="str">
        <f>+'EMA R1'!C43</f>
        <v>Solar Program Cost Adjustment Factor</v>
      </c>
      <c r="D43" s="37"/>
      <c r="E43" s="37"/>
      <c r="G43" s="53"/>
      <c r="H43" s="53">
        <v>2.0000000000000002E-5</v>
      </c>
      <c r="I43" s="53">
        <f t="shared" si="19"/>
        <v>2.0000000000000002E-5</v>
      </c>
      <c r="J43" s="53">
        <f t="shared" si="20"/>
        <v>2.0000000000000002E-5</v>
      </c>
      <c r="K43" s="37"/>
      <c r="L43" s="53">
        <f t="shared" si="21"/>
        <v>2.0000000000000002E-5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51" t="s">
        <v>84</v>
      </c>
    </row>
    <row r="44" spans="1:17" ht="14" x14ac:dyDescent="0.3">
      <c r="A44" s="57">
        <f t="shared" si="0"/>
        <v>44</v>
      </c>
      <c r="B44" s="31"/>
      <c r="C44" s="28" t="str">
        <f>+'EMA R1'!C44</f>
        <v>Solar Expansion Cost Recovery Factor</v>
      </c>
      <c r="D44" s="37"/>
      <c r="E44" s="37"/>
      <c r="G44" s="53"/>
      <c r="H44" s="53">
        <v>-5.1000000000000004E-4</v>
      </c>
      <c r="I44" s="53">
        <f t="shared" si="19"/>
        <v>-5.1000000000000004E-4</v>
      </c>
      <c r="J44" s="53">
        <f t="shared" si="20"/>
        <v>-5.1000000000000004E-4</v>
      </c>
      <c r="K44" s="37"/>
      <c r="L44" s="53">
        <f t="shared" si="21"/>
        <v>-5.1000000000000004E-4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51" t="s">
        <v>86</v>
      </c>
    </row>
    <row r="45" spans="1:17" ht="14" x14ac:dyDescent="0.3">
      <c r="A45" s="57">
        <f t="shared" si="0"/>
        <v>45</v>
      </c>
      <c r="B45" s="31"/>
      <c r="C45" s="28" t="str">
        <f>+'EMA R1'!C45</f>
        <v>Vegetation Management</v>
      </c>
      <c r="D45" s="37"/>
      <c r="E45" s="37"/>
      <c r="G45" s="53"/>
      <c r="H45" s="53">
        <v>1.9300000000000001E-3</v>
      </c>
      <c r="I45" s="53">
        <f t="shared" si="19"/>
        <v>1.9300000000000001E-3</v>
      </c>
      <c r="J45" s="53">
        <f t="shared" si="20"/>
        <v>1.9300000000000001E-3</v>
      </c>
      <c r="K45" s="37"/>
      <c r="L45" s="53">
        <f t="shared" si="21"/>
        <v>1.9300000000000001E-3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51" t="s">
        <v>88</v>
      </c>
    </row>
    <row r="46" spans="1:17" ht="14" x14ac:dyDescent="0.3">
      <c r="A46" s="57">
        <f t="shared" si="0"/>
        <v>46</v>
      </c>
      <c r="B46" s="31"/>
      <c r="C46" s="28" t="str">
        <f>+'EMA R1'!C46</f>
        <v>Tax Act Credit Factor</v>
      </c>
      <c r="D46" s="37"/>
      <c r="E46" s="37"/>
      <c r="G46" s="53"/>
      <c r="H46" s="53">
        <v>-1.8E-3</v>
      </c>
      <c r="I46" s="53">
        <f t="shared" si="19"/>
        <v>-1.8E-3</v>
      </c>
      <c r="J46" s="53">
        <f t="shared" si="20"/>
        <v>-1.8E-3</v>
      </c>
      <c r="K46" s="37"/>
      <c r="L46" s="53">
        <f t="shared" si="21"/>
        <v>-1.8E-3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51" t="s">
        <v>90</v>
      </c>
    </row>
    <row r="47" spans="1:17" ht="14" x14ac:dyDescent="0.3">
      <c r="A47" s="57">
        <f t="shared" si="0"/>
        <v>47</v>
      </c>
      <c r="B47" s="31"/>
      <c r="C47" s="28" t="str">
        <f>+'EMA R1'!C47</f>
        <v>Grid Modernization</v>
      </c>
      <c r="D47" s="37"/>
      <c r="E47" s="37"/>
      <c r="G47" s="53"/>
      <c r="H47" s="53">
        <v>2.2100000000000002E-3</v>
      </c>
      <c r="I47" s="53">
        <f t="shared" si="19"/>
        <v>2.2100000000000002E-3</v>
      </c>
      <c r="J47" s="53">
        <f t="shared" si="20"/>
        <v>2.2100000000000002E-3</v>
      </c>
      <c r="K47" s="37"/>
      <c r="L47" s="53">
        <f t="shared" si="21"/>
        <v>2.2100000000000002E-3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51" t="s">
        <v>92</v>
      </c>
    </row>
    <row r="48" spans="1:17" ht="14" x14ac:dyDescent="0.3">
      <c r="A48" s="57">
        <f t="shared" si="0"/>
        <v>48</v>
      </c>
      <c r="B48" s="31"/>
      <c r="C48" s="28" t="str">
        <f>+'EMA R1'!C48</f>
        <v>Advanced Metering Infrastructure</v>
      </c>
      <c r="D48" s="37"/>
      <c r="E48" s="37"/>
      <c r="G48" s="53"/>
      <c r="H48" s="53">
        <v>2.9399999999999999E-3</v>
      </c>
      <c r="I48" s="53">
        <f t="shared" si="19"/>
        <v>2.9399999999999999E-3</v>
      </c>
      <c r="J48" s="53">
        <f t="shared" si="20"/>
        <v>2.9399999999999999E-3</v>
      </c>
      <c r="K48" s="37"/>
      <c r="L48" s="53">
        <f t="shared" si="21"/>
        <v>2.9399999999999999E-3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51" t="s">
        <v>94</v>
      </c>
    </row>
    <row r="49" spans="1:24" ht="14" x14ac:dyDescent="0.3">
      <c r="A49" s="57">
        <f t="shared" si="0"/>
        <v>49</v>
      </c>
      <c r="B49" s="31"/>
      <c r="C49" s="28" t="str">
        <f>+'EMA R1'!C49</f>
        <v>Electronic Payment Recovery</v>
      </c>
      <c r="D49" s="37"/>
      <c r="E49" s="37"/>
      <c r="G49" s="53"/>
      <c r="H49" s="53">
        <v>0</v>
      </c>
      <c r="I49" s="53">
        <f t="shared" si="19"/>
        <v>0</v>
      </c>
      <c r="J49" s="53">
        <f t="shared" si="20"/>
        <v>0</v>
      </c>
      <c r="K49" s="37"/>
      <c r="L49" s="53">
        <f t="shared" si="21"/>
        <v>0</v>
      </c>
      <c r="M49" s="54">
        <f t="shared" si="22"/>
        <v>0</v>
      </c>
      <c r="N49" s="54"/>
      <c r="O49" s="54">
        <f t="shared" si="23"/>
        <v>0</v>
      </c>
      <c r="P49" s="54">
        <f t="shared" si="24"/>
        <v>0</v>
      </c>
      <c r="Q49" s="51" t="s">
        <v>96</v>
      </c>
    </row>
    <row r="50" spans="1:24" ht="14" x14ac:dyDescent="0.3">
      <c r="A50" s="57">
        <f t="shared" si="0"/>
        <v>50</v>
      </c>
      <c r="B50" s="31"/>
      <c r="C50" s="28" t="str">
        <f>+'EMA R1'!C50</f>
        <v>Provisional System Planning Factor</v>
      </c>
      <c r="D50" s="37"/>
      <c r="E50" s="37"/>
      <c r="G50" s="53"/>
      <c r="H50" s="53">
        <v>0</v>
      </c>
      <c r="I50" s="53">
        <f t="shared" si="19"/>
        <v>0</v>
      </c>
      <c r="J50" s="53">
        <f t="shared" si="20"/>
        <v>0</v>
      </c>
      <c r="K50" s="37"/>
      <c r="L50" s="53">
        <f t="shared" si="21"/>
        <v>0</v>
      </c>
      <c r="M50" s="54">
        <f t="shared" si="22"/>
        <v>0</v>
      </c>
      <c r="N50" s="54"/>
      <c r="O50" s="54">
        <f t="shared" si="23"/>
        <v>0</v>
      </c>
      <c r="P50" s="54">
        <f t="shared" si="24"/>
        <v>0</v>
      </c>
      <c r="Q50" s="51" t="s">
        <v>98</v>
      </c>
    </row>
    <row r="51" spans="1:24" ht="14" x14ac:dyDescent="0.3">
      <c r="A51" s="57">
        <f t="shared" si="0"/>
        <v>51</v>
      </c>
      <c r="B51" s="31"/>
      <c r="C51" s="28" t="str">
        <f>+'EMA R1'!C51</f>
        <v>Electric Vehicle Factor</v>
      </c>
      <c r="D51" s="37"/>
      <c r="E51" s="37"/>
      <c r="G51" s="53"/>
      <c r="H51" s="53">
        <v>1.3799999999999999E-3</v>
      </c>
      <c r="I51" s="53">
        <f t="shared" si="19"/>
        <v>1.3799999999999999E-3</v>
      </c>
      <c r="J51" s="53">
        <f t="shared" si="20"/>
        <v>1.3799999999999999E-3</v>
      </c>
      <c r="K51" s="37"/>
      <c r="L51" s="53">
        <f t="shared" si="21"/>
        <v>1.3799999999999999E-3</v>
      </c>
      <c r="M51" s="54">
        <f t="shared" si="22"/>
        <v>0</v>
      </c>
      <c r="N51" s="54"/>
      <c r="O51" s="54">
        <f t="shared" si="23"/>
        <v>0</v>
      </c>
      <c r="P51" s="54">
        <f t="shared" si="24"/>
        <v>0</v>
      </c>
      <c r="Q51" s="51" t="s">
        <v>100</v>
      </c>
    </row>
    <row r="52" spans="1:24" ht="14" x14ac:dyDescent="0.3">
      <c r="A52" s="57">
        <f t="shared" si="0"/>
        <v>52</v>
      </c>
      <c r="B52" s="31"/>
      <c r="C52" s="28" t="str">
        <f>+'EMA R1'!C52</f>
        <v>Transition</v>
      </c>
      <c r="D52" s="37"/>
      <c r="E52" s="37"/>
      <c r="G52" s="53"/>
      <c r="H52" s="53">
        <v>-3.6999999999999999E-4</v>
      </c>
      <c r="I52" s="53">
        <f t="shared" si="19"/>
        <v>-3.6999999999999999E-4</v>
      </c>
      <c r="J52" s="53">
        <f t="shared" si="20"/>
        <v>-3.6999999999999999E-4</v>
      </c>
      <c r="K52" s="37"/>
      <c r="L52" s="53">
        <f t="shared" si="21"/>
        <v>-3.6999999999999999E-4</v>
      </c>
      <c r="M52" s="54">
        <f t="shared" si="22"/>
        <v>0</v>
      </c>
      <c r="N52" s="54"/>
      <c r="O52" s="54">
        <f t="shared" si="23"/>
        <v>0</v>
      </c>
      <c r="P52" s="54">
        <f t="shared" si="24"/>
        <v>0</v>
      </c>
      <c r="Q52" s="51" t="s">
        <v>102</v>
      </c>
    </row>
    <row r="53" spans="1:24" ht="14" x14ac:dyDescent="0.3">
      <c r="A53" s="57">
        <f t="shared" si="0"/>
        <v>53</v>
      </c>
      <c r="B53" s="31"/>
      <c r="C53" s="28" t="str">
        <f>+'EMA R1'!C53</f>
        <v>Transmission Energy</v>
      </c>
      <c r="D53" s="37"/>
      <c r="E53" s="37"/>
      <c r="G53" s="53"/>
      <c r="H53" s="53">
        <v>4.052E-2</v>
      </c>
      <c r="I53" s="53">
        <f t="shared" si="19"/>
        <v>4.052E-2</v>
      </c>
      <c r="J53" s="53">
        <f t="shared" si="20"/>
        <v>4.052E-2</v>
      </c>
      <c r="K53" s="37"/>
      <c r="L53" s="53">
        <f t="shared" si="21"/>
        <v>4.052E-2</v>
      </c>
      <c r="M53" s="54">
        <f t="shared" si="22"/>
        <v>0</v>
      </c>
      <c r="N53" s="54"/>
      <c r="O53" s="54">
        <f t="shared" si="23"/>
        <v>0</v>
      </c>
      <c r="P53" s="54">
        <f t="shared" si="24"/>
        <v>0</v>
      </c>
      <c r="Q53" s="51" t="s">
        <v>104</v>
      </c>
    </row>
    <row r="54" spans="1:24" ht="14" x14ac:dyDescent="0.3">
      <c r="A54" s="57">
        <f t="shared" si="0"/>
        <v>54</v>
      </c>
      <c r="B54" s="31"/>
      <c r="C54" s="28" t="str">
        <f>+'EMA R1'!C54</f>
        <v>Energy Efficiency Reconciliation Factor</v>
      </c>
      <c r="D54" s="37"/>
      <c r="E54" s="37"/>
      <c r="G54" s="53"/>
      <c r="H54" s="53">
        <v>2.861E-2</v>
      </c>
      <c r="I54" s="53">
        <v>3.7179999999999998E-2</v>
      </c>
      <c r="J54" s="53">
        <v>3.9489999999999997E-2</v>
      </c>
      <c r="K54" s="53"/>
      <c r="L54" s="53">
        <v>4.3970000000000002E-2</v>
      </c>
      <c r="M54" s="54">
        <f t="shared" si="22"/>
        <v>8.5699999999999978E-3</v>
      </c>
      <c r="N54" s="54"/>
      <c r="O54" s="54">
        <f t="shared" si="23"/>
        <v>2.3099999999999996E-3</v>
      </c>
      <c r="P54" s="54">
        <f t="shared" si="24"/>
        <v>4.4800000000000048E-3</v>
      </c>
      <c r="Q54" s="51" t="s">
        <v>106</v>
      </c>
    </row>
    <row r="55" spans="1:24" ht="14" x14ac:dyDescent="0.3">
      <c r="A55" s="57">
        <f t="shared" si="0"/>
        <v>55</v>
      </c>
      <c r="B55" s="31"/>
      <c r="C55" s="28" t="str">
        <f>+'EMA R1'!C55</f>
        <v>System Benefits Charge</v>
      </c>
      <c r="D55" s="37"/>
      <c r="E55" s="37"/>
      <c r="G55" s="53"/>
      <c r="H55" s="53">
        <v>2.5000000000000001E-3</v>
      </c>
      <c r="I55" s="53">
        <f t="shared" si="19"/>
        <v>2.5000000000000001E-3</v>
      </c>
      <c r="J55" s="53">
        <f t="shared" si="20"/>
        <v>2.5000000000000001E-3</v>
      </c>
      <c r="K55" s="37"/>
      <c r="L55" s="53">
        <f t="shared" si="21"/>
        <v>2.5000000000000001E-3</v>
      </c>
      <c r="M55" s="54">
        <f t="shared" si="22"/>
        <v>0</v>
      </c>
      <c r="N55" s="54"/>
      <c r="O55" s="54">
        <f t="shared" si="23"/>
        <v>0</v>
      </c>
      <c r="P55" s="54">
        <f t="shared" si="24"/>
        <v>0</v>
      </c>
      <c r="Q55" s="51" t="s">
        <v>108</v>
      </c>
    </row>
    <row r="56" spans="1:24" ht="14" x14ac:dyDescent="0.3">
      <c r="A56" s="57">
        <f t="shared" si="0"/>
        <v>56</v>
      </c>
      <c r="B56" s="31"/>
      <c r="C56" s="28" t="str">
        <f>+'EMA R1'!C56</f>
        <v>Renewable Energy Charge</v>
      </c>
      <c r="D56" s="37"/>
      <c r="E56" s="37"/>
      <c r="G56" s="53"/>
      <c r="H56" s="53">
        <v>5.0000000000000001E-4</v>
      </c>
      <c r="I56" s="53">
        <f t="shared" si="19"/>
        <v>5.0000000000000001E-4</v>
      </c>
      <c r="J56" s="53">
        <f t="shared" si="20"/>
        <v>5.0000000000000001E-4</v>
      </c>
      <c r="K56" s="37"/>
      <c r="L56" s="53">
        <f t="shared" si="21"/>
        <v>5.0000000000000001E-4</v>
      </c>
      <c r="M56" s="54">
        <f t="shared" si="22"/>
        <v>0</v>
      </c>
      <c r="N56" s="54"/>
      <c r="O56" s="54">
        <f t="shared" si="23"/>
        <v>0</v>
      </c>
      <c r="P56" s="54">
        <f t="shared" si="24"/>
        <v>0</v>
      </c>
      <c r="Q56" s="51" t="s">
        <v>110</v>
      </c>
    </row>
    <row r="57" spans="1:24" ht="14" x14ac:dyDescent="0.3">
      <c r="A57" s="57">
        <f t="shared" si="0"/>
        <v>57</v>
      </c>
      <c r="B57" s="31"/>
      <c r="C57" s="28" t="str">
        <f>+'EMA R1'!C57</f>
        <v>Basic Service Charge</v>
      </c>
      <c r="D57" s="37"/>
      <c r="E57" s="37"/>
      <c r="G57" s="53"/>
      <c r="H57" s="53">
        <v>0.15772</v>
      </c>
      <c r="I57" s="53">
        <f t="shared" si="19"/>
        <v>0.15772</v>
      </c>
      <c r="J57" s="53">
        <f t="shared" si="20"/>
        <v>0.15772</v>
      </c>
      <c r="K57" s="37"/>
      <c r="L57" s="53">
        <f t="shared" si="21"/>
        <v>0.15772</v>
      </c>
      <c r="M57" s="54">
        <f t="shared" si="22"/>
        <v>0</v>
      </c>
      <c r="N57" s="54"/>
      <c r="O57" s="54">
        <f t="shared" si="23"/>
        <v>0</v>
      </c>
      <c r="P57" s="54">
        <f t="shared" si="24"/>
        <v>0</v>
      </c>
      <c r="Q57" s="51" t="s">
        <v>112</v>
      </c>
    </row>
    <row r="58" spans="1:24" ht="14" x14ac:dyDescent="0.3">
      <c r="A58" s="31"/>
      <c r="B58" s="31"/>
      <c r="D58" s="37"/>
      <c r="E58" s="37"/>
      <c r="G58" s="55"/>
      <c r="H58" s="55"/>
      <c r="I58" s="65"/>
      <c r="J58" s="65"/>
      <c r="K58" s="37"/>
      <c r="L58" s="65"/>
      <c r="M58" s="65"/>
      <c r="N58" s="65"/>
      <c r="X58" s="51"/>
    </row>
    <row r="59" spans="1:24" ht="14" x14ac:dyDescent="0.3">
      <c r="A59" s="31"/>
      <c r="B59" s="31"/>
      <c r="D59" s="37"/>
      <c r="E59" s="37"/>
      <c r="G59" s="55"/>
      <c r="H59" s="55"/>
      <c r="I59" s="55"/>
      <c r="J59" s="55"/>
      <c r="K59" s="37"/>
      <c r="L59" s="37"/>
    </row>
    <row r="60" spans="1:24" ht="14" x14ac:dyDescent="0.3">
      <c r="A60" s="31"/>
      <c r="B60" s="31"/>
      <c r="C60" s="28" t="s">
        <v>113</v>
      </c>
      <c r="D60" s="37"/>
      <c r="E60" s="37"/>
      <c r="G60" s="55"/>
      <c r="H60" s="55">
        <f>SUM(H31:H56)</f>
        <v>0.16949</v>
      </c>
      <c r="I60" s="55">
        <f>SUM(I31:I56)</f>
        <v>0.17806</v>
      </c>
      <c r="J60" s="55">
        <f>SUM(J31:J56)</f>
        <v>0.18037</v>
      </c>
      <c r="K60" s="37"/>
      <c r="L60" s="55">
        <f>SUM(L31:L56)</f>
        <v>0.18485000000000001</v>
      </c>
    </row>
    <row r="61" spans="1:24" ht="14" x14ac:dyDescent="0.3">
      <c r="C61" s="28" t="s">
        <v>114</v>
      </c>
      <c r="D61" s="37"/>
      <c r="E61" s="37"/>
      <c r="G61" s="55"/>
      <c r="H61" s="55">
        <f>H57</f>
        <v>0.15772</v>
      </c>
      <c r="I61" s="55">
        <f>I57</f>
        <v>0.15772</v>
      </c>
      <c r="J61" s="55">
        <f>J57</f>
        <v>0.15772</v>
      </c>
      <c r="K61" s="37"/>
      <c r="L61" s="55">
        <f>L57</f>
        <v>0.15772</v>
      </c>
    </row>
    <row r="62" spans="1:24" ht="14" x14ac:dyDescent="0.3">
      <c r="F62" s="28"/>
    </row>
  </sheetData>
  <mergeCells count="7">
    <mergeCell ref="Z10:AA10"/>
    <mergeCell ref="D10:F10"/>
    <mergeCell ref="H10:J10"/>
    <mergeCell ref="L10:M10"/>
    <mergeCell ref="O10:Q10"/>
    <mergeCell ref="S10:T10"/>
    <mergeCell ref="V10:X10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7159-C415-4E13-BEDE-256334E8B529}">
  <sheetPr>
    <tabColor theme="3" tint="0.59999389629810485"/>
    <pageSetUpPr fitToPage="1"/>
  </sheetPr>
  <dimension ref="A1:AA62"/>
  <sheetViews>
    <sheetView zoomScaleNormal="100" workbookViewId="0"/>
  </sheetViews>
  <sheetFormatPr defaultColWidth="8.7265625" defaultRowHeight="13" x14ac:dyDescent="0.3"/>
  <cols>
    <col min="1" max="1" width="4" style="58" bestFit="1" customWidth="1"/>
    <col min="2" max="2" width="5.54296875" style="58" bestFit="1" customWidth="1"/>
    <col min="3" max="6" width="12" style="58" customWidth="1"/>
    <col min="7" max="7" width="2" style="58" customWidth="1"/>
    <col min="8" max="10" width="12" style="58" customWidth="1"/>
    <col min="11" max="11" width="2" style="58" customWidth="1"/>
    <col min="12" max="13" width="12" style="58" customWidth="1"/>
    <col min="14" max="14" width="2" style="58" customWidth="1"/>
    <col min="15" max="17" width="12" style="58" customWidth="1"/>
    <col min="18" max="18" width="2" style="58" customWidth="1"/>
    <col min="19" max="20" width="12" style="58" customWidth="1"/>
    <col min="21" max="21" width="2" style="58" customWidth="1"/>
    <col min="22" max="24" width="12" style="58" customWidth="1"/>
    <col min="25" max="25" width="2" style="58" customWidth="1"/>
    <col min="26" max="27" width="12" style="58" customWidth="1"/>
    <col min="28" max="16384" width="8.7265625" style="58"/>
  </cols>
  <sheetData>
    <row r="1" spans="1:27" x14ac:dyDescent="0.3">
      <c r="A1" s="57">
        <v>1</v>
      </c>
    </row>
    <row r="2" spans="1:27" x14ac:dyDescent="0.3">
      <c r="A2" s="57">
        <f>A1+1</f>
        <v>2</v>
      </c>
    </row>
    <row r="3" spans="1:27" ht="14" x14ac:dyDescent="0.3">
      <c r="A3" s="57">
        <f t="shared" ref="A3:A57" si="0">A2+1</f>
        <v>3</v>
      </c>
      <c r="B3" s="66" t="s">
        <v>115</v>
      </c>
      <c r="C3" s="22"/>
      <c r="D3" s="22"/>
      <c r="E3" s="22"/>
    </row>
    <row r="4" spans="1:27" ht="14" x14ac:dyDescent="0.3">
      <c r="A4" s="57">
        <f t="shared" si="0"/>
        <v>4</v>
      </c>
      <c r="B4" s="66" t="s">
        <v>41</v>
      </c>
      <c r="C4" s="22"/>
      <c r="D4" s="22"/>
      <c r="E4" s="22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6"/>
    </row>
    <row r="5" spans="1:27" ht="14" x14ac:dyDescent="0.3">
      <c r="A5" s="57">
        <f t="shared" si="0"/>
        <v>5</v>
      </c>
      <c r="B5" s="66"/>
      <c r="C5" s="22"/>
      <c r="D5" s="22"/>
      <c r="E5" s="22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6"/>
    </row>
    <row r="6" spans="1:27" ht="14" x14ac:dyDescent="0.3">
      <c r="A6" s="57">
        <f t="shared" si="0"/>
        <v>6</v>
      </c>
      <c r="B6" s="66" t="s">
        <v>119</v>
      </c>
      <c r="C6" s="22"/>
      <c r="D6" s="22"/>
      <c r="E6" s="22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6"/>
    </row>
    <row r="7" spans="1:27" ht="14" x14ac:dyDescent="0.3">
      <c r="A7" s="57">
        <f t="shared" si="0"/>
        <v>7</v>
      </c>
      <c r="B7" s="57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</row>
    <row r="8" spans="1:27" ht="14" x14ac:dyDescent="0.3">
      <c r="A8" s="57">
        <f t="shared" si="0"/>
        <v>8</v>
      </c>
      <c r="B8" s="27"/>
      <c r="C8" s="28"/>
      <c r="D8" s="28"/>
      <c r="E8" s="28"/>
      <c r="F8" s="29"/>
      <c r="G8" s="28"/>
    </row>
    <row r="9" spans="1:27" ht="14" x14ac:dyDescent="0.3">
      <c r="A9" s="57">
        <f t="shared" si="0"/>
        <v>9</v>
      </c>
      <c r="B9" s="27"/>
      <c r="C9" s="28"/>
      <c r="D9" s="28"/>
      <c r="E9" s="28"/>
      <c r="F9" s="30"/>
      <c r="G9" s="28"/>
    </row>
    <row r="10" spans="1:27" ht="14" x14ac:dyDescent="0.3">
      <c r="A10" s="57">
        <f t="shared" si="0"/>
        <v>10</v>
      </c>
      <c r="B10" s="31"/>
      <c r="C10" s="27" t="s">
        <v>2</v>
      </c>
      <c r="D10" s="32" t="str">
        <f>'EMA R1'!D10</f>
        <v>2024 Monthly Bill</v>
      </c>
      <c r="E10" s="32"/>
      <c r="F10" s="32"/>
      <c r="G10" s="33"/>
      <c r="H10" s="32" t="str">
        <f>'EMA R1'!H10</f>
        <v>2025 Illustrative Monthly Bill</v>
      </c>
      <c r="I10" s="32"/>
      <c r="J10" s="32"/>
      <c r="K10" s="23"/>
      <c r="L10" s="32" t="str">
        <f>'EMA R1'!L10</f>
        <v>2025 vs. 2024</v>
      </c>
      <c r="M10" s="32"/>
      <c r="N10" s="27"/>
      <c r="O10" s="32" t="str">
        <f>'EMA R1'!O10</f>
        <v>2026 Illustrative Monthly Bill</v>
      </c>
      <c r="P10" s="32"/>
      <c r="Q10" s="32"/>
      <c r="R10" s="33"/>
      <c r="S10" s="32" t="str">
        <f>'EMA R1'!S10</f>
        <v>2026 vs. 2025</v>
      </c>
      <c r="T10" s="32"/>
      <c r="U10" s="23"/>
      <c r="V10" s="32" t="str">
        <f>'EMA R1'!V10</f>
        <v>2027 Illustrative Monthly Bill</v>
      </c>
      <c r="W10" s="32"/>
      <c r="X10" s="32"/>
      <c r="Y10" s="33"/>
      <c r="Z10" s="32" t="str">
        <f>'EMA R1'!Z10</f>
        <v>2027 vs. 2026</v>
      </c>
      <c r="AA10" s="32"/>
    </row>
    <row r="11" spans="1:27" ht="14" x14ac:dyDescent="0.3">
      <c r="A11" s="57">
        <f t="shared" si="0"/>
        <v>11</v>
      </c>
      <c r="B11" s="31"/>
      <c r="C11" s="34" t="s">
        <v>47</v>
      </c>
      <c r="D11" s="34" t="s">
        <v>48</v>
      </c>
      <c r="E11" s="34" t="s">
        <v>49</v>
      </c>
      <c r="F11" s="34" t="s">
        <v>50</v>
      </c>
      <c r="G11" s="34"/>
      <c r="H11" s="34" t="s">
        <v>48</v>
      </c>
      <c r="I11" s="34" t="s">
        <v>49</v>
      </c>
      <c r="J11" s="34" t="s">
        <v>50</v>
      </c>
      <c r="K11" s="23"/>
      <c r="L11" s="34" t="s">
        <v>51</v>
      </c>
      <c r="M11" s="34" t="s">
        <v>14</v>
      </c>
      <c r="N11" s="34"/>
      <c r="O11" s="34" t="s">
        <v>48</v>
      </c>
      <c r="P11" s="34" t="s">
        <v>49</v>
      </c>
      <c r="Q11" s="34" t="s">
        <v>50</v>
      </c>
      <c r="R11" s="34"/>
      <c r="S11" s="34" t="s">
        <v>51</v>
      </c>
      <c r="T11" s="34" t="s">
        <v>14</v>
      </c>
      <c r="U11" s="23"/>
      <c r="V11" s="34" t="s">
        <v>48</v>
      </c>
      <c r="W11" s="34" t="s">
        <v>49</v>
      </c>
      <c r="X11" s="34" t="s">
        <v>50</v>
      </c>
      <c r="Y11" s="34"/>
      <c r="Z11" s="34" t="s">
        <v>51</v>
      </c>
      <c r="AA11" s="34" t="s">
        <v>14</v>
      </c>
    </row>
    <row r="12" spans="1:27" ht="14" x14ac:dyDescent="0.3">
      <c r="A12" s="57">
        <f t="shared" si="0"/>
        <v>12</v>
      </c>
      <c r="B12" s="31"/>
      <c r="C12" s="35">
        <v>100</v>
      </c>
      <c r="D12" s="36">
        <f>ROUND(SUM($H$31:$H$56)*C12,2)+H$30</f>
        <v>26.95</v>
      </c>
      <c r="E12" s="36">
        <f t="shared" ref="E12:E24" si="1">ROUND($H$57*C12,2)</f>
        <v>14.02</v>
      </c>
      <c r="F12" s="36">
        <f>SUM(D12:E12)</f>
        <v>40.97</v>
      </c>
      <c r="G12" s="36"/>
      <c r="H12" s="36">
        <f t="shared" ref="H12:H25" si="2">ROUND(SUM($I$31:$I$56)*C12,2)+I$30</f>
        <v>27.81</v>
      </c>
      <c r="I12" s="36">
        <f t="shared" ref="I12:I25" si="3">ROUND($I$57*C12,2)</f>
        <v>14.02</v>
      </c>
      <c r="J12" s="36">
        <f>SUM(H12:I12)</f>
        <v>41.83</v>
      </c>
      <c r="K12" s="37"/>
      <c r="L12" s="36">
        <f>+J12-F12</f>
        <v>0.85999999999999943</v>
      </c>
      <c r="M12" s="39">
        <f>+L12/F12</f>
        <v>2.0990969001708555E-2</v>
      </c>
      <c r="N12" s="39"/>
      <c r="O12" s="36">
        <f>ROUND(SUM($J$31:$J$56)*C12,2)+J$30</f>
        <v>28.04</v>
      </c>
      <c r="P12" s="36">
        <f t="shared" ref="P12:P25" si="4">ROUND($J$57*C12,2)</f>
        <v>14.02</v>
      </c>
      <c r="Q12" s="36">
        <f>SUM(O12:P12)</f>
        <v>42.06</v>
      </c>
      <c r="R12" s="36"/>
      <c r="S12" s="36">
        <f>+Q12-J12</f>
        <v>0.23000000000000398</v>
      </c>
      <c r="T12" s="39">
        <f>+S12/J12</f>
        <v>5.4984460913221128E-3</v>
      </c>
      <c r="U12" s="23"/>
      <c r="V12" s="36">
        <f t="shared" ref="V12:V25" si="5">ROUND(SUM($L$31:$L$56)*C12,2)+L$30</f>
        <v>28.49</v>
      </c>
      <c r="W12" s="36">
        <f t="shared" ref="W12:W25" si="6">ROUND($L$57*C12,2)</f>
        <v>14.02</v>
      </c>
      <c r="X12" s="36">
        <f>SUM(V12:W12)</f>
        <v>42.51</v>
      </c>
      <c r="Y12" s="36"/>
      <c r="Z12" s="36">
        <f>X12-Q12</f>
        <v>0.44999999999999574</v>
      </c>
      <c r="AA12" s="39">
        <f>+Z12/Q12</f>
        <v>1.0699001426533421E-2</v>
      </c>
    </row>
    <row r="13" spans="1:27" ht="14" x14ac:dyDescent="0.3">
      <c r="A13" s="57">
        <f t="shared" si="0"/>
        <v>13</v>
      </c>
      <c r="B13" s="31"/>
      <c r="C13" s="35">
        <v>200</v>
      </c>
      <c r="D13" s="36">
        <f>ROUND(SUM($H$31:$H$56)*C13,2)+H$30</f>
        <v>43.9</v>
      </c>
      <c r="E13" s="36">
        <f t="shared" si="1"/>
        <v>28.05</v>
      </c>
      <c r="F13" s="36">
        <f t="shared" ref="F13:F25" si="7">SUM(D13:E13)</f>
        <v>71.95</v>
      </c>
      <c r="G13" s="36"/>
      <c r="H13" s="36">
        <f t="shared" si="2"/>
        <v>45.61</v>
      </c>
      <c r="I13" s="36">
        <f t="shared" si="3"/>
        <v>28.05</v>
      </c>
      <c r="J13" s="36">
        <f t="shared" ref="J13:J25" si="8">SUM(H13:I13)</f>
        <v>73.66</v>
      </c>
      <c r="K13" s="37"/>
      <c r="L13" s="36">
        <f t="shared" ref="L13:L25" si="9">+J13-F13</f>
        <v>1.7099999999999937</v>
      </c>
      <c r="M13" s="39">
        <f t="shared" ref="M13:M25" si="10">+L13/F13</f>
        <v>2.3766504517025624E-2</v>
      </c>
      <c r="N13" s="39"/>
      <c r="O13" s="36">
        <f t="shared" ref="O13:O25" si="11">ROUND(SUM($J$31:$J$56)*C13,2)+J$30</f>
        <v>46.07</v>
      </c>
      <c r="P13" s="36">
        <f t="shared" si="4"/>
        <v>28.05</v>
      </c>
      <c r="Q13" s="36">
        <f t="shared" ref="Q13:Q25" si="12">SUM(O13:P13)</f>
        <v>74.12</v>
      </c>
      <c r="R13" s="36"/>
      <c r="S13" s="36">
        <f t="shared" ref="S13:S25" si="13">+Q13-J13</f>
        <v>0.46000000000000796</v>
      </c>
      <c r="T13" s="39">
        <f t="shared" ref="T13:T25" si="14">+S13/J13</f>
        <v>6.2449090415423293E-3</v>
      </c>
      <c r="U13" s="23"/>
      <c r="V13" s="36">
        <f t="shared" si="5"/>
        <v>46.97</v>
      </c>
      <c r="W13" s="36">
        <f t="shared" si="6"/>
        <v>28.05</v>
      </c>
      <c r="X13" s="36">
        <f t="shared" ref="X13:X25" si="15">SUM(V13:W13)</f>
        <v>75.02</v>
      </c>
      <c r="Y13" s="36"/>
      <c r="Z13" s="36">
        <f t="shared" ref="Z13:Z25" si="16">X13-Q13</f>
        <v>0.89999999999999147</v>
      </c>
      <c r="AA13" s="39">
        <f t="shared" ref="AA13:AA25" si="17">+Z13/Q13</f>
        <v>1.2142471667565994E-2</v>
      </c>
    </row>
    <row r="14" spans="1:27" ht="14" x14ac:dyDescent="0.3">
      <c r="A14" s="57">
        <f t="shared" si="0"/>
        <v>14</v>
      </c>
      <c r="B14" s="31"/>
      <c r="C14" s="35">
        <v>300</v>
      </c>
      <c r="D14" s="36">
        <f t="shared" ref="D14:D25" si="18">ROUND(SUM($H$31:$H$56)*C14,2)+H$30</f>
        <v>60.85</v>
      </c>
      <c r="E14" s="36">
        <f t="shared" si="1"/>
        <v>42.07</v>
      </c>
      <c r="F14" s="36">
        <f t="shared" si="7"/>
        <v>102.92</v>
      </c>
      <c r="G14" s="36"/>
      <c r="H14" s="36">
        <f t="shared" si="2"/>
        <v>63.42</v>
      </c>
      <c r="I14" s="36">
        <f t="shared" si="3"/>
        <v>42.07</v>
      </c>
      <c r="J14" s="36">
        <f t="shared" si="8"/>
        <v>105.49000000000001</v>
      </c>
      <c r="K14" s="37"/>
      <c r="L14" s="36">
        <f t="shared" si="9"/>
        <v>2.5700000000000074</v>
      </c>
      <c r="M14" s="39">
        <f t="shared" si="10"/>
        <v>2.4970851146521641E-2</v>
      </c>
      <c r="N14" s="39"/>
      <c r="O14" s="36">
        <f t="shared" si="11"/>
        <v>64.11</v>
      </c>
      <c r="P14" s="36">
        <f t="shared" si="4"/>
        <v>42.07</v>
      </c>
      <c r="Q14" s="36">
        <f t="shared" si="12"/>
        <v>106.18</v>
      </c>
      <c r="R14" s="36"/>
      <c r="S14" s="36">
        <f t="shared" si="13"/>
        <v>0.68999999999999773</v>
      </c>
      <c r="T14" s="39">
        <f t="shared" si="14"/>
        <v>6.5409043511233068E-3</v>
      </c>
      <c r="U14" s="23"/>
      <c r="V14" s="36">
        <f t="shared" si="5"/>
        <v>65.460000000000008</v>
      </c>
      <c r="W14" s="36">
        <f t="shared" si="6"/>
        <v>42.07</v>
      </c>
      <c r="X14" s="36">
        <f t="shared" si="15"/>
        <v>107.53</v>
      </c>
      <c r="Y14" s="36"/>
      <c r="Z14" s="36">
        <f t="shared" si="16"/>
        <v>1.3499999999999943</v>
      </c>
      <c r="AA14" s="39">
        <f t="shared" si="17"/>
        <v>1.2714258805801414E-2</v>
      </c>
    </row>
    <row r="15" spans="1:27" ht="14" x14ac:dyDescent="0.3">
      <c r="A15" s="57">
        <f t="shared" si="0"/>
        <v>15</v>
      </c>
      <c r="B15" s="31"/>
      <c r="C15" s="35">
        <v>400</v>
      </c>
      <c r="D15" s="36">
        <f>ROUND(SUM($H$31:$H$56)*C15,2)+H$30</f>
        <v>77.8</v>
      </c>
      <c r="E15" s="36">
        <f t="shared" si="1"/>
        <v>56.09</v>
      </c>
      <c r="F15" s="36">
        <f t="shared" si="7"/>
        <v>133.88999999999999</v>
      </c>
      <c r="G15" s="36"/>
      <c r="H15" s="36">
        <f t="shared" si="2"/>
        <v>81.22</v>
      </c>
      <c r="I15" s="36">
        <f t="shared" si="3"/>
        <v>56.09</v>
      </c>
      <c r="J15" s="36">
        <f t="shared" si="8"/>
        <v>137.31</v>
      </c>
      <c r="K15" s="37"/>
      <c r="L15" s="36">
        <f t="shared" si="9"/>
        <v>3.4200000000000159</v>
      </c>
      <c r="M15" s="39">
        <f t="shared" si="10"/>
        <v>2.5543356486668282E-2</v>
      </c>
      <c r="N15" s="39"/>
      <c r="O15" s="36">
        <f>ROUND(SUM($J$31:$J$56)*C15,2)+J$30</f>
        <v>82.15</v>
      </c>
      <c r="P15" s="36">
        <f t="shared" si="4"/>
        <v>56.09</v>
      </c>
      <c r="Q15" s="36">
        <f t="shared" si="12"/>
        <v>138.24</v>
      </c>
      <c r="R15" s="36"/>
      <c r="S15" s="36">
        <f t="shared" si="13"/>
        <v>0.93000000000000682</v>
      </c>
      <c r="T15" s="39">
        <f t="shared" si="14"/>
        <v>6.7729954118418674E-3</v>
      </c>
      <c r="U15" s="23"/>
      <c r="V15" s="36">
        <f>ROUND(SUM($L$31:$L$56)*C15,2)+L$30</f>
        <v>83.94</v>
      </c>
      <c r="W15" s="36">
        <f t="shared" si="6"/>
        <v>56.09</v>
      </c>
      <c r="X15" s="36">
        <f t="shared" si="15"/>
        <v>140.03</v>
      </c>
      <c r="Y15" s="36"/>
      <c r="Z15" s="36">
        <f t="shared" si="16"/>
        <v>1.789999999999992</v>
      </c>
      <c r="AA15" s="39">
        <f t="shared" si="17"/>
        <v>1.2948495370370312E-2</v>
      </c>
    </row>
    <row r="16" spans="1:27" ht="14" x14ac:dyDescent="0.3">
      <c r="A16" s="57">
        <f t="shared" si="0"/>
        <v>16</v>
      </c>
      <c r="B16" s="31"/>
      <c r="C16" s="35">
        <v>500</v>
      </c>
      <c r="D16" s="36">
        <f t="shared" si="18"/>
        <v>94.75</v>
      </c>
      <c r="E16" s="36">
        <f t="shared" si="1"/>
        <v>70.12</v>
      </c>
      <c r="F16" s="36">
        <f t="shared" si="7"/>
        <v>164.87</v>
      </c>
      <c r="G16" s="36"/>
      <c r="H16" s="36">
        <f>ROUND(SUM($I$31:$I$56)*C16,2)+I$30</f>
        <v>99.03</v>
      </c>
      <c r="I16" s="36">
        <f t="shared" si="3"/>
        <v>70.12</v>
      </c>
      <c r="J16" s="36">
        <f t="shared" si="8"/>
        <v>169.15</v>
      </c>
      <c r="K16" s="37"/>
      <c r="L16" s="36">
        <f t="shared" si="9"/>
        <v>4.2800000000000011</v>
      </c>
      <c r="M16" s="39">
        <f t="shared" si="10"/>
        <v>2.5959847152301818E-2</v>
      </c>
      <c r="N16" s="39"/>
      <c r="O16" s="36">
        <f t="shared" si="11"/>
        <v>100.19</v>
      </c>
      <c r="P16" s="36">
        <f t="shared" si="4"/>
        <v>70.12</v>
      </c>
      <c r="Q16" s="36">
        <f t="shared" si="12"/>
        <v>170.31</v>
      </c>
      <c r="R16" s="36"/>
      <c r="S16" s="36">
        <f t="shared" si="13"/>
        <v>1.1599999999999966</v>
      </c>
      <c r="T16" s="39">
        <f t="shared" si="14"/>
        <v>6.8578185042861162E-3</v>
      </c>
      <c r="U16" s="23"/>
      <c r="V16" s="36">
        <f t="shared" si="5"/>
        <v>102.43</v>
      </c>
      <c r="W16" s="36">
        <f t="shared" si="6"/>
        <v>70.12</v>
      </c>
      <c r="X16" s="36">
        <f t="shared" si="15"/>
        <v>172.55</v>
      </c>
      <c r="Y16" s="36"/>
      <c r="Z16" s="36">
        <f t="shared" si="16"/>
        <v>2.2400000000000091</v>
      </c>
      <c r="AA16" s="39">
        <f t="shared" si="17"/>
        <v>1.3152486642005808E-2</v>
      </c>
    </row>
    <row r="17" spans="1:27" ht="14" x14ac:dyDescent="0.3">
      <c r="A17" s="57">
        <f t="shared" si="0"/>
        <v>17</v>
      </c>
      <c r="B17" s="31"/>
      <c r="C17" s="35">
        <v>600</v>
      </c>
      <c r="D17" s="36">
        <f t="shared" si="18"/>
        <v>111.69</v>
      </c>
      <c r="E17" s="36">
        <f t="shared" si="1"/>
        <v>84.14</v>
      </c>
      <c r="F17" s="36">
        <f t="shared" si="7"/>
        <v>195.82999999999998</v>
      </c>
      <c r="G17" s="36"/>
      <c r="H17" s="36">
        <f t="shared" si="2"/>
        <v>116.84</v>
      </c>
      <c r="I17" s="36">
        <f t="shared" si="3"/>
        <v>84.14</v>
      </c>
      <c r="J17" s="36">
        <f t="shared" si="8"/>
        <v>200.98000000000002</v>
      </c>
      <c r="K17" s="37"/>
      <c r="L17" s="36">
        <f t="shared" si="9"/>
        <v>5.1500000000000341</v>
      </c>
      <c r="M17" s="39">
        <f t="shared" si="10"/>
        <v>2.6298319971403944E-2</v>
      </c>
      <c r="N17" s="39"/>
      <c r="O17" s="36">
        <f t="shared" si="11"/>
        <v>118.22</v>
      </c>
      <c r="P17" s="36">
        <f t="shared" si="4"/>
        <v>84.14</v>
      </c>
      <c r="Q17" s="36">
        <f t="shared" si="12"/>
        <v>202.36</v>
      </c>
      <c r="R17" s="36"/>
      <c r="S17" s="36">
        <f t="shared" si="13"/>
        <v>1.3799999999999955</v>
      </c>
      <c r="T17" s="39">
        <f t="shared" si="14"/>
        <v>6.8663548611801939E-3</v>
      </c>
      <c r="U17" s="23"/>
      <c r="V17" s="36">
        <f t="shared" si="5"/>
        <v>120.91</v>
      </c>
      <c r="W17" s="36">
        <f t="shared" si="6"/>
        <v>84.14</v>
      </c>
      <c r="X17" s="36">
        <f t="shared" si="15"/>
        <v>205.05</v>
      </c>
      <c r="Y17" s="36"/>
      <c r="Z17" s="36">
        <f t="shared" si="16"/>
        <v>2.6899999999999977</v>
      </c>
      <c r="AA17" s="39">
        <f t="shared" si="17"/>
        <v>1.3293140936944049E-2</v>
      </c>
    </row>
    <row r="18" spans="1:27" ht="14" x14ac:dyDescent="0.3">
      <c r="A18" s="57">
        <f t="shared" si="0"/>
        <v>18</v>
      </c>
      <c r="B18" s="31"/>
      <c r="C18" s="35">
        <v>700</v>
      </c>
      <c r="D18" s="36">
        <f t="shared" si="18"/>
        <v>128.63999999999999</v>
      </c>
      <c r="E18" s="36">
        <f t="shared" si="1"/>
        <v>98.16</v>
      </c>
      <c r="F18" s="36">
        <f t="shared" si="7"/>
        <v>226.79999999999998</v>
      </c>
      <c r="G18" s="36"/>
      <c r="H18" s="36">
        <f t="shared" si="2"/>
        <v>134.63999999999999</v>
      </c>
      <c r="I18" s="36">
        <f t="shared" si="3"/>
        <v>98.16</v>
      </c>
      <c r="J18" s="36">
        <f t="shared" si="8"/>
        <v>232.79999999999998</v>
      </c>
      <c r="K18" s="37"/>
      <c r="L18" s="36">
        <f t="shared" si="9"/>
        <v>6</v>
      </c>
      <c r="M18" s="39">
        <f t="shared" si="10"/>
        <v>2.6455026455026457E-2</v>
      </c>
      <c r="N18" s="39"/>
      <c r="O18" s="36">
        <f t="shared" si="11"/>
        <v>136.26</v>
      </c>
      <c r="P18" s="36">
        <f>ROUND($J$57*C18,2)</f>
        <v>98.16</v>
      </c>
      <c r="Q18" s="36">
        <f t="shared" si="12"/>
        <v>234.42</v>
      </c>
      <c r="R18" s="36"/>
      <c r="S18" s="36">
        <f t="shared" si="13"/>
        <v>1.6200000000000045</v>
      </c>
      <c r="T18" s="39">
        <f t="shared" si="14"/>
        <v>6.9587628865979585E-3</v>
      </c>
      <c r="U18" s="23"/>
      <c r="V18" s="36">
        <f t="shared" si="5"/>
        <v>139.4</v>
      </c>
      <c r="W18" s="36">
        <f t="shared" si="6"/>
        <v>98.16</v>
      </c>
      <c r="X18" s="36">
        <f t="shared" si="15"/>
        <v>237.56</v>
      </c>
      <c r="Y18" s="36"/>
      <c r="Z18" s="36">
        <f t="shared" si="16"/>
        <v>3.1400000000000148</v>
      </c>
      <c r="AA18" s="39">
        <f t="shared" si="17"/>
        <v>1.3394761539117887E-2</v>
      </c>
    </row>
    <row r="19" spans="1:27" ht="14" x14ac:dyDescent="0.3">
      <c r="A19" s="57">
        <f t="shared" si="0"/>
        <v>19</v>
      </c>
      <c r="B19" s="31"/>
      <c r="C19" s="35">
        <v>800</v>
      </c>
      <c r="D19" s="36">
        <f t="shared" si="18"/>
        <v>145.59</v>
      </c>
      <c r="E19" s="36">
        <f>ROUND($H$57*C19,2)</f>
        <v>112.18</v>
      </c>
      <c r="F19" s="36">
        <f t="shared" si="7"/>
        <v>257.77</v>
      </c>
      <c r="G19" s="36"/>
      <c r="H19" s="36">
        <f t="shared" si="2"/>
        <v>152.44999999999999</v>
      </c>
      <c r="I19" s="36">
        <f t="shared" si="3"/>
        <v>112.18</v>
      </c>
      <c r="J19" s="36">
        <f t="shared" si="8"/>
        <v>264.63</v>
      </c>
      <c r="K19" s="37"/>
      <c r="L19" s="36">
        <f t="shared" si="9"/>
        <v>6.8600000000000136</v>
      </c>
      <c r="M19" s="39">
        <f t="shared" si="10"/>
        <v>2.6612871940101694E-2</v>
      </c>
      <c r="N19" s="39"/>
      <c r="O19" s="36">
        <f t="shared" si="11"/>
        <v>154.30000000000001</v>
      </c>
      <c r="P19" s="36">
        <f t="shared" si="4"/>
        <v>112.18</v>
      </c>
      <c r="Q19" s="36">
        <f t="shared" si="12"/>
        <v>266.48</v>
      </c>
      <c r="R19" s="36"/>
      <c r="S19" s="36">
        <f t="shared" si="13"/>
        <v>1.8500000000000227</v>
      </c>
      <c r="T19" s="39">
        <f t="shared" si="14"/>
        <v>6.990892944866503E-3</v>
      </c>
      <c r="U19" s="23"/>
      <c r="V19" s="36">
        <f t="shared" si="5"/>
        <v>157.88</v>
      </c>
      <c r="W19" s="36">
        <f>ROUND($L$57*C19,2)</f>
        <v>112.18</v>
      </c>
      <c r="X19" s="36">
        <f t="shared" si="15"/>
        <v>270.06</v>
      </c>
      <c r="Y19" s="36"/>
      <c r="Z19" s="36">
        <f t="shared" si="16"/>
        <v>3.5799999999999841</v>
      </c>
      <c r="AA19" s="39">
        <f t="shared" si="17"/>
        <v>1.343440408285794E-2</v>
      </c>
    </row>
    <row r="20" spans="1:27" ht="14" x14ac:dyDescent="0.3">
      <c r="A20" s="57">
        <f t="shared" si="0"/>
        <v>20</v>
      </c>
      <c r="B20" s="31"/>
      <c r="C20" s="35">
        <v>900</v>
      </c>
      <c r="D20" s="36">
        <f t="shared" si="18"/>
        <v>162.54</v>
      </c>
      <c r="E20" s="36">
        <f t="shared" si="1"/>
        <v>126.21</v>
      </c>
      <c r="F20" s="36">
        <f t="shared" si="7"/>
        <v>288.75</v>
      </c>
      <c r="G20" s="36"/>
      <c r="H20" s="36">
        <f t="shared" si="2"/>
        <v>170.25</v>
      </c>
      <c r="I20" s="36">
        <f>ROUND($I$57*C20,2)</f>
        <v>126.21</v>
      </c>
      <c r="J20" s="36">
        <f t="shared" si="8"/>
        <v>296.45999999999998</v>
      </c>
      <c r="K20" s="37"/>
      <c r="L20" s="36">
        <f t="shared" si="9"/>
        <v>7.7099999999999795</v>
      </c>
      <c r="M20" s="39">
        <f t="shared" si="10"/>
        <v>2.6701298701298632E-2</v>
      </c>
      <c r="N20" s="39"/>
      <c r="O20" s="36">
        <f t="shared" si="11"/>
        <v>172.33</v>
      </c>
      <c r="P20" s="36">
        <f t="shared" si="4"/>
        <v>126.21</v>
      </c>
      <c r="Q20" s="36">
        <f t="shared" si="12"/>
        <v>298.54000000000002</v>
      </c>
      <c r="R20" s="36"/>
      <c r="S20" s="36">
        <f t="shared" si="13"/>
        <v>2.0800000000000409</v>
      </c>
      <c r="T20" s="39">
        <f t="shared" si="14"/>
        <v>7.0161235917157155E-3</v>
      </c>
      <c r="U20" s="23"/>
      <c r="V20" s="36">
        <f t="shared" si="5"/>
        <v>176.37</v>
      </c>
      <c r="W20" s="36">
        <f t="shared" si="6"/>
        <v>126.21</v>
      </c>
      <c r="X20" s="36">
        <f t="shared" si="15"/>
        <v>302.58</v>
      </c>
      <c r="Y20" s="36"/>
      <c r="Z20" s="36">
        <f t="shared" si="16"/>
        <v>4.0399999999999636</v>
      </c>
      <c r="AA20" s="39">
        <f t="shared" si="17"/>
        <v>1.3532524954779806E-2</v>
      </c>
    </row>
    <row r="21" spans="1:27" ht="14" x14ac:dyDescent="0.3">
      <c r="A21" s="57">
        <f t="shared" si="0"/>
        <v>21</v>
      </c>
      <c r="B21" s="31"/>
      <c r="C21" s="35">
        <v>1000</v>
      </c>
      <c r="D21" s="36">
        <f t="shared" si="18"/>
        <v>179.49</v>
      </c>
      <c r="E21" s="36">
        <f t="shared" si="1"/>
        <v>140.22999999999999</v>
      </c>
      <c r="F21" s="36">
        <f t="shared" si="7"/>
        <v>319.72000000000003</v>
      </c>
      <c r="G21" s="36"/>
      <c r="H21" s="36">
        <f t="shared" si="2"/>
        <v>188.06</v>
      </c>
      <c r="I21" s="36">
        <f t="shared" si="3"/>
        <v>140.22999999999999</v>
      </c>
      <c r="J21" s="36">
        <f t="shared" si="8"/>
        <v>328.28999999999996</v>
      </c>
      <c r="K21" s="37"/>
      <c r="L21" s="36">
        <f t="shared" si="9"/>
        <v>8.5699999999999363</v>
      </c>
      <c r="M21" s="39">
        <f t="shared" si="10"/>
        <v>2.6804704116101388E-2</v>
      </c>
      <c r="N21" s="39"/>
      <c r="O21" s="36">
        <f t="shared" si="11"/>
        <v>190.37</v>
      </c>
      <c r="P21" s="36">
        <f t="shared" si="4"/>
        <v>140.22999999999999</v>
      </c>
      <c r="Q21" s="36">
        <f t="shared" si="12"/>
        <v>330.6</v>
      </c>
      <c r="R21" s="36"/>
      <c r="S21" s="36">
        <f t="shared" si="13"/>
        <v>2.3100000000000591</v>
      </c>
      <c r="T21" s="39">
        <f t="shared" si="14"/>
        <v>7.0364616649914993E-3</v>
      </c>
      <c r="U21" s="23"/>
      <c r="V21" s="36">
        <f t="shared" si="5"/>
        <v>194.85</v>
      </c>
      <c r="W21" s="36">
        <f t="shared" si="6"/>
        <v>140.22999999999999</v>
      </c>
      <c r="X21" s="36">
        <f t="shared" si="15"/>
        <v>335.08</v>
      </c>
      <c r="Y21" s="36"/>
      <c r="Z21" s="36">
        <f t="shared" si="16"/>
        <v>4.4799999999999613</v>
      </c>
      <c r="AA21" s="39">
        <f t="shared" si="17"/>
        <v>1.355111917725336E-2</v>
      </c>
    </row>
    <row r="22" spans="1:27" ht="14" x14ac:dyDescent="0.3">
      <c r="A22" s="57">
        <f t="shared" si="0"/>
        <v>22</v>
      </c>
      <c r="B22" s="31"/>
      <c r="C22" s="35">
        <v>1250</v>
      </c>
      <c r="D22" s="36">
        <f t="shared" si="18"/>
        <v>221.86</v>
      </c>
      <c r="E22" s="36">
        <f t="shared" si="1"/>
        <v>175.29</v>
      </c>
      <c r="F22" s="36">
        <f t="shared" si="7"/>
        <v>397.15</v>
      </c>
      <c r="G22" s="36"/>
      <c r="H22" s="36">
        <f t="shared" si="2"/>
        <v>232.58</v>
      </c>
      <c r="I22" s="36">
        <f t="shared" si="3"/>
        <v>175.29</v>
      </c>
      <c r="J22" s="36">
        <f t="shared" si="8"/>
        <v>407.87</v>
      </c>
      <c r="K22" s="37"/>
      <c r="L22" s="36">
        <f t="shared" si="9"/>
        <v>10.720000000000027</v>
      </c>
      <c r="M22" s="39">
        <f t="shared" si="10"/>
        <v>2.6992320282009388E-2</v>
      </c>
      <c r="N22" s="39"/>
      <c r="O22" s="36">
        <f t="shared" si="11"/>
        <v>235.46</v>
      </c>
      <c r="P22" s="36">
        <f t="shared" si="4"/>
        <v>175.29</v>
      </c>
      <c r="Q22" s="36">
        <f t="shared" si="12"/>
        <v>410.75</v>
      </c>
      <c r="R22" s="36"/>
      <c r="S22" s="36">
        <f t="shared" si="13"/>
        <v>2.8799999999999955</v>
      </c>
      <c r="T22" s="39">
        <f t="shared" si="14"/>
        <v>7.0610733812243986E-3</v>
      </c>
      <c r="U22" s="23"/>
      <c r="V22" s="36">
        <f t="shared" si="5"/>
        <v>241.06</v>
      </c>
      <c r="W22" s="36">
        <f t="shared" si="6"/>
        <v>175.29</v>
      </c>
      <c r="X22" s="36">
        <f t="shared" si="15"/>
        <v>416.35</v>
      </c>
      <c r="Y22" s="36"/>
      <c r="Z22" s="36">
        <f t="shared" si="16"/>
        <v>5.6000000000000227</v>
      </c>
      <c r="AA22" s="39">
        <f t="shared" si="17"/>
        <v>1.3633597078514968E-2</v>
      </c>
    </row>
    <row r="23" spans="1:27" ht="14" x14ac:dyDescent="0.3">
      <c r="A23" s="57">
        <f t="shared" si="0"/>
        <v>23</v>
      </c>
      <c r="B23" s="31"/>
      <c r="C23" s="35">
        <v>1500</v>
      </c>
      <c r="D23" s="36">
        <f t="shared" si="18"/>
        <v>264.24</v>
      </c>
      <c r="E23" s="36">
        <f t="shared" si="1"/>
        <v>210.35</v>
      </c>
      <c r="F23" s="36">
        <f t="shared" si="7"/>
        <v>474.59000000000003</v>
      </c>
      <c r="G23" s="36"/>
      <c r="H23" s="36">
        <f t="shared" si="2"/>
        <v>277.08999999999997</v>
      </c>
      <c r="I23" s="36">
        <f>ROUND($I$57*C23,2)</f>
        <v>210.35</v>
      </c>
      <c r="J23" s="36">
        <f t="shared" si="8"/>
        <v>487.43999999999994</v>
      </c>
      <c r="K23" s="37"/>
      <c r="L23" s="36">
        <f>+J23-F23</f>
        <v>12.849999999999909</v>
      </c>
      <c r="M23" s="39">
        <f>+L23/F23</f>
        <v>2.7076002444214813E-2</v>
      </c>
      <c r="N23" s="39"/>
      <c r="O23" s="36">
        <f>ROUND(SUM($J$31:$J$56)*C23,2)+J$30</f>
        <v>280.56</v>
      </c>
      <c r="P23" s="36">
        <f t="shared" si="4"/>
        <v>210.35</v>
      </c>
      <c r="Q23" s="36">
        <f t="shared" si="12"/>
        <v>490.90999999999997</v>
      </c>
      <c r="R23" s="36"/>
      <c r="S23" s="36">
        <f t="shared" si="13"/>
        <v>3.4700000000000273</v>
      </c>
      <c r="T23" s="39">
        <f t="shared" si="14"/>
        <v>7.1188248810110533E-3</v>
      </c>
      <c r="U23" s="23"/>
      <c r="V23" s="36">
        <f t="shared" si="5"/>
        <v>287.27999999999997</v>
      </c>
      <c r="W23" s="36">
        <f t="shared" si="6"/>
        <v>210.35</v>
      </c>
      <c r="X23" s="36">
        <f t="shared" si="15"/>
        <v>497.63</v>
      </c>
      <c r="Y23" s="36"/>
      <c r="Z23" s="36">
        <f t="shared" si="16"/>
        <v>6.7200000000000273</v>
      </c>
      <c r="AA23" s="39">
        <f t="shared" si="17"/>
        <v>1.368886353914165E-2</v>
      </c>
    </row>
    <row r="24" spans="1:27" ht="14" x14ac:dyDescent="0.3">
      <c r="A24" s="57">
        <f t="shared" si="0"/>
        <v>24</v>
      </c>
      <c r="B24" s="31"/>
      <c r="C24" s="35">
        <v>2000</v>
      </c>
      <c r="D24" s="36">
        <f t="shared" si="18"/>
        <v>348.98</v>
      </c>
      <c r="E24" s="36">
        <f t="shared" si="1"/>
        <v>280.45999999999998</v>
      </c>
      <c r="F24" s="36">
        <f t="shared" si="7"/>
        <v>629.44000000000005</v>
      </c>
      <c r="G24" s="36"/>
      <c r="H24" s="36">
        <f>ROUND(SUM($I$31:$I$56)*C24,2)+I$30</f>
        <v>366.12</v>
      </c>
      <c r="I24" s="36">
        <f t="shared" si="3"/>
        <v>280.45999999999998</v>
      </c>
      <c r="J24" s="36">
        <f t="shared" si="8"/>
        <v>646.57999999999993</v>
      </c>
      <c r="K24" s="37"/>
      <c r="L24" s="36">
        <f t="shared" si="9"/>
        <v>17.139999999999873</v>
      </c>
      <c r="M24" s="39">
        <f t="shared" si="10"/>
        <v>2.7230554143365327E-2</v>
      </c>
      <c r="N24" s="39"/>
      <c r="O24" s="36">
        <f t="shared" si="11"/>
        <v>370.74</v>
      </c>
      <c r="P24" s="36">
        <f t="shared" si="4"/>
        <v>280.45999999999998</v>
      </c>
      <c r="Q24" s="36">
        <f t="shared" si="12"/>
        <v>651.20000000000005</v>
      </c>
      <c r="R24" s="36"/>
      <c r="S24" s="36">
        <f t="shared" si="13"/>
        <v>4.6200000000001182</v>
      </c>
      <c r="T24" s="39">
        <f t="shared" si="14"/>
        <v>7.1452875127596257E-3</v>
      </c>
      <c r="U24" s="23"/>
      <c r="V24" s="36">
        <f t="shared" si="5"/>
        <v>379.7</v>
      </c>
      <c r="W24" s="36">
        <f t="shared" si="6"/>
        <v>280.45999999999998</v>
      </c>
      <c r="X24" s="36">
        <f t="shared" si="15"/>
        <v>660.16</v>
      </c>
      <c r="Y24" s="36"/>
      <c r="Z24" s="36">
        <f t="shared" si="16"/>
        <v>8.9599999999999227</v>
      </c>
      <c r="AA24" s="39">
        <f t="shared" si="17"/>
        <v>1.3759213759213639E-2</v>
      </c>
    </row>
    <row r="25" spans="1:27" ht="14" x14ac:dyDescent="0.3">
      <c r="A25" s="57">
        <f t="shared" si="0"/>
        <v>25</v>
      </c>
      <c r="B25" s="31" t="s">
        <v>52</v>
      </c>
      <c r="C25" s="35">
        <v>805</v>
      </c>
      <c r="D25" s="36">
        <f t="shared" si="18"/>
        <v>146.44</v>
      </c>
      <c r="E25" s="36">
        <f>ROUND($H$57*C25,2)</f>
        <v>112.89</v>
      </c>
      <c r="F25" s="36">
        <f t="shared" si="7"/>
        <v>259.33</v>
      </c>
      <c r="G25" s="36"/>
      <c r="H25" s="36">
        <f t="shared" si="2"/>
        <v>153.34</v>
      </c>
      <c r="I25" s="36">
        <f t="shared" si="3"/>
        <v>112.89</v>
      </c>
      <c r="J25" s="36">
        <f t="shared" si="8"/>
        <v>266.23</v>
      </c>
      <c r="K25" s="37"/>
      <c r="L25" s="36">
        <f t="shared" si="9"/>
        <v>6.9000000000000341</v>
      </c>
      <c r="M25" s="39">
        <f t="shared" si="10"/>
        <v>2.6607025797246886E-2</v>
      </c>
      <c r="N25" s="39"/>
      <c r="O25" s="36">
        <f t="shared" si="11"/>
        <v>155.19999999999999</v>
      </c>
      <c r="P25" s="36">
        <f t="shared" si="4"/>
        <v>112.89</v>
      </c>
      <c r="Q25" s="36">
        <f t="shared" si="12"/>
        <v>268.08999999999997</v>
      </c>
      <c r="R25" s="36"/>
      <c r="S25" s="36">
        <f t="shared" si="13"/>
        <v>1.8599999999999568</v>
      </c>
      <c r="T25" s="39">
        <f t="shared" si="14"/>
        <v>6.9864402959845121E-3</v>
      </c>
      <c r="U25" s="23"/>
      <c r="V25" s="36">
        <f t="shared" si="5"/>
        <v>158.80000000000001</v>
      </c>
      <c r="W25" s="36">
        <f t="shared" si="6"/>
        <v>112.89</v>
      </c>
      <c r="X25" s="36">
        <f t="shared" si="15"/>
        <v>271.69</v>
      </c>
      <c r="Y25" s="36"/>
      <c r="Z25" s="36">
        <f t="shared" si="16"/>
        <v>3.6000000000000227</v>
      </c>
      <c r="AA25" s="39">
        <f t="shared" si="17"/>
        <v>1.3428326308329378E-2</v>
      </c>
    </row>
    <row r="26" spans="1:27" ht="14" x14ac:dyDescent="0.3">
      <c r="A26" s="57">
        <f t="shared" si="0"/>
        <v>26</v>
      </c>
      <c r="B26" s="31"/>
      <c r="C26" s="41"/>
      <c r="D26" s="42"/>
      <c r="E26" s="42"/>
      <c r="F26" s="42"/>
      <c r="G26" s="43"/>
      <c r="H26" s="42"/>
      <c r="I26" s="42"/>
      <c r="J26" s="42"/>
      <c r="K26" s="43"/>
      <c r="L26" s="43"/>
      <c r="X26" s="40"/>
    </row>
    <row r="27" spans="1:27" ht="14" x14ac:dyDescent="0.3">
      <c r="A27" s="57">
        <f t="shared" si="0"/>
        <v>27</v>
      </c>
      <c r="B27" s="31"/>
      <c r="C27" s="41"/>
      <c r="D27" s="43"/>
      <c r="E27" s="42"/>
      <c r="F27" s="42"/>
      <c r="G27" s="43"/>
      <c r="H27" s="42"/>
      <c r="I27" s="42"/>
      <c r="J27" s="42"/>
      <c r="K27" s="43"/>
      <c r="L27" s="43"/>
      <c r="X27" s="40"/>
    </row>
    <row r="28" spans="1:27" ht="14" x14ac:dyDescent="0.3">
      <c r="A28" s="57">
        <f t="shared" si="0"/>
        <v>28</v>
      </c>
      <c r="B28" s="31"/>
      <c r="C28" s="44" t="s">
        <v>53</v>
      </c>
      <c r="D28" s="37"/>
      <c r="E28" s="37"/>
      <c r="G28" s="60"/>
      <c r="H28" s="45">
        <f>+'EMA R1'!H28</f>
        <v>2024</v>
      </c>
      <c r="I28" s="45">
        <f>+'EMA R1'!I28</f>
        <v>2025</v>
      </c>
      <c r="J28" s="45">
        <f>+'EMA R1'!J28</f>
        <v>2026</v>
      </c>
      <c r="K28" s="45"/>
      <c r="L28" s="45">
        <f>+'EMA R1'!L28</f>
        <v>2027</v>
      </c>
      <c r="M28" s="45" t="str">
        <f>+'EMA R1'!M28</f>
        <v>2025 v 2024</v>
      </c>
      <c r="N28" s="45"/>
      <c r="O28" s="45" t="str">
        <f>+'EMA R1'!O28</f>
        <v>2026 v 2025</v>
      </c>
      <c r="P28" s="45" t="str">
        <f>+'EMA R1'!P28</f>
        <v>2027 v 2026</v>
      </c>
    </row>
    <row r="29" spans="1:27" ht="14" x14ac:dyDescent="0.3">
      <c r="A29" s="57">
        <f t="shared" si="0"/>
        <v>29</v>
      </c>
      <c r="B29" s="31"/>
      <c r="C29" s="44" t="s">
        <v>53</v>
      </c>
      <c r="D29" s="37"/>
      <c r="E29" s="37"/>
      <c r="G29" s="60"/>
      <c r="H29" s="47" t="str">
        <f>+'EMA R1'!H29</f>
        <v>Rates</v>
      </c>
      <c r="I29" s="47" t="s">
        <v>57</v>
      </c>
      <c r="J29" s="47" t="s">
        <v>57</v>
      </c>
      <c r="K29" s="37"/>
      <c r="L29" s="47" t="s">
        <v>57</v>
      </c>
      <c r="M29" s="48" t="s">
        <v>51</v>
      </c>
      <c r="N29" s="22"/>
      <c r="O29" s="48" t="s">
        <v>51</v>
      </c>
      <c r="P29" s="48" t="s">
        <v>51</v>
      </c>
    </row>
    <row r="30" spans="1:27" ht="14" x14ac:dyDescent="0.3">
      <c r="A30" s="57">
        <f t="shared" si="0"/>
        <v>30</v>
      </c>
      <c r="B30" s="31"/>
      <c r="C30" s="28" t="str">
        <f>+'EMA R3'!C30</f>
        <v>Customer Charge</v>
      </c>
      <c r="D30" s="37"/>
      <c r="E30" s="37"/>
      <c r="G30" s="49"/>
      <c r="H30" s="49">
        <v>10</v>
      </c>
      <c r="I30" s="49">
        <f t="shared" ref="I30:I57" si="19">+H30</f>
        <v>10</v>
      </c>
      <c r="J30" s="49">
        <f t="shared" ref="J30:J57" si="20">H30</f>
        <v>10</v>
      </c>
      <c r="K30" s="37"/>
      <c r="L30" s="49">
        <f t="shared" ref="L30:L57" si="21">H30</f>
        <v>10</v>
      </c>
      <c r="M30" s="50">
        <f t="shared" ref="M30:M57" si="22">+I30-H30</f>
        <v>0</v>
      </c>
      <c r="N30" s="50"/>
      <c r="O30" s="50">
        <f t="shared" ref="O30:O57" si="23">+J30-I30</f>
        <v>0</v>
      </c>
      <c r="P30" s="50">
        <f t="shared" ref="P30:P57" si="24">+L30-J30</f>
        <v>0</v>
      </c>
      <c r="Q30" s="51" t="s">
        <v>59</v>
      </c>
    </row>
    <row r="31" spans="1:27" ht="14" x14ac:dyDescent="0.3">
      <c r="A31" s="57">
        <f t="shared" si="0"/>
        <v>31</v>
      </c>
      <c r="B31" s="31"/>
      <c r="C31" s="28" t="str">
        <f>+'EMA R3'!C31</f>
        <v>Distribution Energy</v>
      </c>
      <c r="D31" s="37"/>
      <c r="E31" s="37"/>
      <c r="G31" s="53"/>
      <c r="H31" s="53">
        <v>5.296E-2</v>
      </c>
      <c r="I31" s="53">
        <f t="shared" si="19"/>
        <v>5.296E-2</v>
      </c>
      <c r="J31" s="53">
        <f t="shared" si="20"/>
        <v>5.296E-2</v>
      </c>
      <c r="K31" s="37"/>
      <c r="L31" s="53">
        <f t="shared" si="21"/>
        <v>5.296E-2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51" t="s">
        <v>59</v>
      </c>
    </row>
    <row r="32" spans="1:27" ht="14" x14ac:dyDescent="0.3">
      <c r="A32" s="57">
        <f t="shared" si="0"/>
        <v>32</v>
      </c>
      <c r="B32" s="31"/>
      <c r="C32" s="52" t="s">
        <v>61</v>
      </c>
      <c r="D32" s="37"/>
      <c r="E32" s="37"/>
      <c r="G32" s="53"/>
      <c r="H32" s="53">
        <v>1.01E-3</v>
      </c>
      <c r="I32" s="53">
        <f t="shared" si="19"/>
        <v>1.01E-3</v>
      </c>
      <c r="J32" s="53">
        <f t="shared" si="20"/>
        <v>1.01E-3</v>
      </c>
      <c r="K32" s="37"/>
      <c r="L32" s="53">
        <f t="shared" si="21"/>
        <v>1.01E-3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51" t="s">
        <v>62</v>
      </c>
    </row>
    <row r="33" spans="1:17" ht="14" x14ac:dyDescent="0.3">
      <c r="A33" s="57">
        <f t="shared" si="0"/>
        <v>33</v>
      </c>
      <c r="B33" s="31"/>
      <c r="C33" s="28" t="str">
        <f>+'EMA R3'!C33</f>
        <v>Revenue Decoupling</v>
      </c>
      <c r="D33" s="37"/>
      <c r="E33" s="37"/>
      <c r="G33" s="53"/>
      <c r="H33" s="53">
        <v>6.0000000000000002E-5</v>
      </c>
      <c r="I33" s="53">
        <f t="shared" si="19"/>
        <v>6.0000000000000002E-5</v>
      </c>
      <c r="J33" s="53">
        <f t="shared" si="20"/>
        <v>6.0000000000000002E-5</v>
      </c>
      <c r="K33" s="37"/>
      <c r="L33" s="53">
        <f t="shared" si="21"/>
        <v>6.0000000000000002E-5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51" t="s">
        <v>64</v>
      </c>
    </row>
    <row r="34" spans="1:17" ht="14" x14ac:dyDescent="0.3">
      <c r="A34" s="57">
        <f t="shared" si="0"/>
        <v>34</v>
      </c>
      <c r="B34" s="31"/>
      <c r="C34" s="28" t="str">
        <f>+'EMA R3'!C34</f>
        <v>Distributed Solar Charge</v>
      </c>
      <c r="D34" s="37"/>
      <c r="E34" s="37"/>
      <c r="G34" s="53"/>
      <c r="H34" s="53">
        <v>8.0000000000000002E-3</v>
      </c>
      <c r="I34" s="53">
        <f t="shared" si="19"/>
        <v>8.0000000000000002E-3</v>
      </c>
      <c r="J34" s="53">
        <f t="shared" si="20"/>
        <v>8.0000000000000002E-3</v>
      </c>
      <c r="K34" s="37"/>
      <c r="L34" s="53">
        <f t="shared" si="21"/>
        <v>8.0000000000000002E-3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51" t="s">
        <v>66</v>
      </c>
    </row>
    <row r="35" spans="1:17" ht="14" x14ac:dyDescent="0.3">
      <c r="A35" s="57">
        <f t="shared" si="0"/>
        <v>35</v>
      </c>
      <c r="B35" s="31"/>
      <c r="C35" s="28" t="str">
        <f>+'EMA R3'!C35</f>
        <v>Residential Assistance Adjustment Factor</v>
      </c>
      <c r="D35" s="37"/>
      <c r="E35" s="37"/>
      <c r="G35" s="53"/>
      <c r="H35" s="53">
        <v>8.1600000000000006E-3</v>
      </c>
      <c r="I35" s="53">
        <f t="shared" si="19"/>
        <v>8.1600000000000006E-3</v>
      </c>
      <c r="J35" s="53">
        <f t="shared" si="20"/>
        <v>8.1600000000000006E-3</v>
      </c>
      <c r="K35" s="37"/>
      <c r="L35" s="53">
        <f t="shared" si="21"/>
        <v>8.1600000000000006E-3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51" t="s">
        <v>68</v>
      </c>
    </row>
    <row r="36" spans="1:17" ht="14" x14ac:dyDescent="0.3">
      <c r="A36" s="57">
        <f t="shared" si="0"/>
        <v>36</v>
      </c>
      <c r="B36" s="31"/>
      <c r="C36" s="28" t="str">
        <f>+'EMA R3'!C36</f>
        <v>Pension Adjustment Factor</v>
      </c>
      <c r="D36" s="37"/>
      <c r="E36" s="37"/>
      <c r="G36" s="53"/>
      <c r="H36" s="53">
        <v>8.5999999999999998E-4</v>
      </c>
      <c r="I36" s="53">
        <f t="shared" si="19"/>
        <v>8.5999999999999998E-4</v>
      </c>
      <c r="J36" s="53">
        <f t="shared" si="20"/>
        <v>8.5999999999999998E-4</v>
      </c>
      <c r="K36" s="37"/>
      <c r="L36" s="53">
        <f t="shared" si="21"/>
        <v>8.5999999999999998E-4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51" t="s">
        <v>70</v>
      </c>
    </row>
    <row r="37" spans="1:17" ht="14" x14ac:dyDescent="0.3">
      <c r="A37" s="57">
        <f t="shared" si="0"/>
        <v>37</v>
      </c>
      <c r="B37" s="31"/>
      <c r="C37" s="28" t="str">
        <f>+'EMA R3'!C37</f>
        <v>Net Metering Recovery Surcharge</v>
      </c>
      <c r="D37" s="37"/>
      <c r="E37" s="37"/>
      <c r="G37" s="53"/>
      <c r="H37" s="53">
        <v>1.6219999999999998E-2</v>
      </c>
      <c r="I37" s="53">
        <f t="shared" si="19"/>
        <v>1.6219999999999998E-2</v>
      </c>
      <c r="J37" s="53">
        <f t="shared" si="20"/>
        <v>1.6219999999999998E-2</v>
      </c>
      <c r="K37" s="37"/>
      <c r="L37" s="53">
        <f t="shared" si="21"/>
        <v>1.6219999999999998E-2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51" t="s">
        <v>72</v>
      </c>
    </row>
    <row r="38" spans="1:17" ht="14" x14ac:dyDescent="0.3">
      <c r="A38" s="57">
        <f t="shared" si="0"/>
        <v>38</v>
      </c>
      <c r="B38" s="31"/>
      <c r="C38" s="28" t="str">
        <f>+'EMA R3'!C38</f>
        <v>Long Term Renewable Contract Adjustment</v>
      </c>
      <c r="D38" s="37"/>
      <c r="E38" s="37"/>
      <c r="G38" s="53"/>
      <c r="H38" s="53">
        <v>-1.9300000000000001E-3</v>
      </c>
      <c r="I38" s="53">
        <f t="shared" si="19"/>
        <v>-1.9300000000000001E-3</v>
      </c>
      <c r="J38" s="53">
        <f t="shared" si="20"/>
        <v>-1.9300000000000001E-3</v>
      </c>
      <c r="K38" s="37"/>
      <c r="L38" s="53">
        <f t="shared" si="21"/>
        <v>-1.9300000000000001E-3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51" t="s">
        <v>74</v>
      </c>
    </row>
    <row r="39" spans="1:17" ht="14" x14ac:dyDescent="0.3">
      <c r="A39" s="57">
        <f t="shared" si="0"/>
        <v>39</v>
      </c>
      <c r="B39" s="31"/>
      <c r="C39" s="28" t="str">
        <f>+'EMA R3'!C39</f>
        <v>AG Consulting Expense</v>
      </c>
      <c r="D39" s="37"/>
      <c r="E39" s="37"/>
      <c r="G39" s="53"/>
      <c r="H39" s="53">
        <v>5.0000000000000002E-5</v>
      </c>
      <c r="I39" s="53">
        <f t="shared" si="19"/>
        <v>5.0000000000000002E-5</v>
      </c>
      <c r="J39" s="53">
        <f t="shared" si="20"/>
        <v>5.0000000000000002E-5</v>
      </c>
      <c r="K39" s="37"/>
      <c r="L39" s="53">
        <f t="shared" si="21"/>
        <v>5.0000000000000002E-5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51" t="s">
        <v>76</v>
      </c>
    </row>
    <row r="40" spans="1:17" ht="14" x14ac:dyDescent="0.3">
      <c r="A40" s="57">
        <f t="shared" si="0"/>
        <v>40</v>
      </c>
      <c r="B40" s="31"/>
      <c r="C40" s="28" t="str">
        <f>+'EMA R3'!C40</f>
        <v>Storm Cost Recovery Adjustment Factor</v>
      </c>
      <c r="D40" s="37"/>
      <c r="E40" s="37"/>
      <c r="G40" s="53"/>
      <c r="H40" s="53">
        <v>6.6299999999999996E-3</v>
      </c>
      <c r="I40" s="53">
        <f t="shared" si="19"/>
        <v>6.6299999999999996E-3</v>
      </c>
      <c r="J40" s="53">
        <f t="shared" si="20"/>
        <v>6.6299999999999996E-3</v>
      </c>
      <c r="K40" s="37"/>
      <c r="L40" s="53">
        <f t="shared" si="21"/>
        <v>6.6299999999999996E-3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51" t="s">
        <v>78</v>
      </c>
    </row>
    <row r="41" spans="1:17" ht="14" x14ac:dyDescent="0.3">
      <c r="A41" s="57">
        <f t="shared" si="0"/>
        <v>41</v>
      </c>
      <c r="B41" s="31"/>
      <c r="C41" s="28" t="str">
        <f>+'EMA R3'!C41</f>
        <v>Storm Reserve Adjustment</v>
      </c>
      <c r="D41" s="37"/>
      <c r="E41" s="37"/>
      <c r="G41" s="53"/>
      <c r="H41" s="53">
        <v>0</v>
      </c>
      <c r="I41" s="53">
        <f t="shared" si="19"/>
        <v>0</v>
      </c>
      <c r="J41" s="53">
        <f t="shared" si="20"/>
        <v>0</v>
      </c>
      <c r="K41" s="37"/>
      <c r="L41" s="53">
        <f t="shared" si="21"/>
        <v>0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51" t="s">
        <v>80</v>
      </c>
    </row>
    <row r="42" spans="1:17" ht="14" x14ac:dyDescent="0.3">
      <c r="A42" s="57">
        <f t="shared" si="0"/>
        <v>42</v>
      </c>
      <c r="B42" s="31"/>
      <c r="C42" s="28" t="str">
        <f>+'EMA R3'!C42</f>
        <v>Basic Service Cost True Up Factor</v>
      </c>
      <c r="D42" s="37"/>
      <c r="E42" s="37"/>
      <c r="G42" s="53"/>
      <c r="H42" s="53">
        <v>-4.6000000000000001E-4</v>
      </c>
      <c r="I42" s="53">
        <f t="shared" si="19"/>
        <v>-4.6000000000000001E-4</v>
      </c>
      <c r="J42" s="53">
        <f t="shared" si="20"/>
        <v>-4.6000000000000001E-4</v>
      </c>
      <c r="K42" s="37"/>
      <c r="L42" s="53">
        <f t="shared" si="21"/>
        <v>-4.6000000000000001E-4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51" t="s">
        <v>82</v>
      </c>
    </row>
    <row r="43" spans="1:17" ht="14" x14ac:dyDescent="0.3">
      <c r="A43" s="57">
        <f t="shared" si="0"/>
        <v>43</v>
      </c>
      <c r="B43" s="31"/>
      <c r="C43" s="28" t="str">
        <f>+'EMA R3'!C43</f>
        <v>Solar Program Cost Adjustment Factor</v>
      </c>
      <c r="D43" s="37"/>
      <c r="E43" s="37"/>
      <c r="G43" s="53"/>
      <c r="H43" s="53">
        <v>2.0000000000000002E-5</v>
      </c>
      <c r="I43" s="53">
        <f t="shared" si="19"/>
        <v>2.0000000000000002E-5</v>
      </c>
      <c r="J43" s="53">
        <f t="shared" si="20"/>
        <v>2.0000000000000002E-5</v>
      </c>
      <c r="K43" s="37"/>
      <c r="L43" s="53">
        <f t="shared" si="21"/>
        <v>2.0000000000000002E-5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51" t="s">
        <v>84</v>
      </c>
    </row>
    <row r="44" spans="1:17" ht="14" x14ac:dyDescent="0.3">
      <c r="A44" s="57">
        <f t="shared" si="0"/>
        <v>44</v>
      </c>
      <c r="B44" s="31"/>
      <c r="C44" s="28" t="str">
        <f>+'EMA R3'!C44</f>
        <v>Solar Expansion Cost Recovery Factor</v>
      </c>
      <c r="D44" s="37"/>
      <c r="E44" s="37"/>
      <c r="G44" s="53"/>
      <c r="H44" s="53">
        <v>-5.1000000000000004E-4</v>
      </c>
      <c r="I44" s="53">
        <f t="shared" si="19"/>
        <v>-5.1000000000000004E-4</v>
      </c>
      <c r="J44" s="53">
        <f t="shared" si="20"/>
        <v>-5.1000000000000004E-4</v>
      </c>
      <c r="K44" s="37"/>
      <c r="L44" s="53">
        <f t="shared" si="21"/>
        <v>-5.1000000000000004E-4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51" t="s">
        <v>86</v>
      </c>
    </row>
    <row r="45" spans="1:17" ht="14" x14ac:dyDescent="0.3">
      <c r="A45" s="57">
        <f t="shared" si="0"/>
        <v>45</v>
      </c>
      <c r="B45" s="31"/>
      <c r="C45" s="28" t="str">
        <f>+'EMA R3'!C45</f>
        <v>Vegetation Management</v>
      </c>
      <c r="D45" s="37"/>
      <c r="E45" s="37"/>
      <c r="G45" s="53"/>
      <c r="H45" s="53">
        <v>1.9300000000000001E-3</v>
      </c>
      <c r="I45" s="53">
        <f t="shared" si="19"/>
        <v>1.9300000000000001E-3</v>
      </c>
      <c r="J45" s="53">
        <f t="shared" si="20"/>
        <v>1.9300000000000001E-3</v>
      </c>
      <c r="K45" s="37"/>
      <c r="L45" s="53">
        <f t="shared" si="21"/>
        <v>1.9300000000000001E-3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51" t="s">
        <v>88</v>
      </c>
    </row>
    <row r="46" spans="1:17" ht="14" x14ac:dyDescent="0.3">
      <c r="A46" s="57">
        <f t="shared" si="0"/>
        <v>46</v>
      </c>
      <c r="B46" s="31"/>
      <c r="C46" s="28" t="str">
        <f>+'EMA R3'!C46</f>
        <v>Tax Act Credit Factor</v>
      </c>
      <c r="D46" s="37"/>
      <c r="E46" s="37"/>
      <c r="G46" s="53"/>
      <c r="H46" s="53">
        <v>-1.8E-3</v>
      </c>
      <c r="I46" s="53">
        <f t="shared" si="19"/>
        <v>-1.8E-3</v>
      </c>
      <c r="J46" s="53">
        <f t="shared" si="20"/>
        <v>-1.8E-3</v>
      </c>
      <c r="K46" s="37"/>
      <c r="L46" s="53">
        <f t="shared" si="21"/>
        <v>-1.8E-3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51" t="s">
        <v>90</v>
      </c>
    </row>
    <row r="47" spans="1:17" ht="14" x14ac:dyDescent="0.3">
      <c r="A47" s="57">
        <f t="shared" si="0"/>
        <v>47</v>
      </c>
      <c r="B47" s="31"/>
      <c r="C47" s="28" t="str">
        <f>+'EMA R3'!C47</f>
        <v>Grid Modernization</v>
      </c>
      <c r="D47" s="37"/>
      <c r="E47" s="37"/>
      <c r="G47" s="53"/>
      <c r="H47" s="53">
        <v>2.2100000000000002E-3</v>
      </c>
      <c r="I47" s="53">
        <f t="shared" si="19"/>
        <v>2.2100000000000002E-3</v>
      </c>
      <c r="J47" s="53">
        <f t="shared" si="20"/>
        <v>2.2100000000000002E-3</v>
      </c>
      <c r="K47" s="37"/>
      <c r="L47" s="53">
        <f t="shared" si="21"/>
        <v>2.2100000000000002E-3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51" t="s">
        <v>92</v>
      </c>
    </row>
    <row r="48" spans="1:17" ht="14" x14ac:dyDescent="0.3">
      <c r="A48" s="57">
        <f t="shared" si="0"/>
        <v>48</v>
      </c>
      <c r="B48" s="31"/>
      <c r="C48" s="28" t="str">
        <f>+'EMA R3'!C48</f>
        <v>Advanced Metering Infrastructure</v>
      </c>
      <c r="D48" s="37"/>
      <c r="E48" s="37"/>
      <c r="G48" s="53"/>
      <c r="H48" s="53">
        <v>2.9399999999999999E-3</v>
      </c>
      <c r="I48" s="53">
        <f t="shared" si="19"/>
        <v>2.9399999999999999E-3</v>
      </c>
      <c r="J48" s="53">
        <f t="shared" si="20"/>
        <v>2.9399999999999999E-3</v>
      </c>
      <c r="K48" s="37"/>
      <c r="L48" s="53">
        <f t="shared" si="21"/>
        <v>2.9399999999999999E-3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51" t="s">
        <v>94</v>
      </c>
    </row>
    <row r="49" spans="1:24" ht="14" x14ac:dyDescent="0.3">
      <c r="A49" s="57">
        <f t="shared" si="0"/>
        <v>49</v>
      </c>
      <c r="B49" s="31"/>
      <c r="C49" s="28" t="str">
        <f>+'EMA R3'!C49</f>
        <v>Electronic Payment Recovery</v>
      </c>
      <c r="D49" s="37"/>
      <c r="E49" s="37"/>
      <c r="G49" s="53"/>
      <c r="H49" s="53">
        <v>0</v>
      </c>
      <c r="I49" s="53">
        <f t="shared" si="19"/>
        <v>0</v>
      </c>
      <c r="J49" s="53">
        <f t="shared" si="20"/>
        <v>0</v>
      </c>
      <c r="K49" s="37"/>
      <c r="L49" s="53">
        <f t="shared" si="21"/>
        <v>0</v>
      </c>
      <c r="M49" s="54">
        <f t="shared" si="22"/>
        <v>0</v>
      </c>
      <c r="N49" s="54"/>
      <c r="O49" s="54">
        <f t="shared" si="23"/>
        <v>0</v>
      </c>
      <c r="P49" s="54">
        <f t="shared" si="24"/>
        <v>0</v>
      </c>
      <c r="Q49" s="51" t="s">
        <v>96</v>
      </c>
    </row>
    <row r="50" spans="1:24" ht="14" x14ac:dyDescent="0.3">
      <c r="A50" s="57">
        <f t="shared" si="0"/>
        <v>50</v>
      </c>
      <c r="B50" s="31"/>
      <c r="C50" s="28" t="str">
        <f>+'EMA R3'!C50</f>
        <v>Provisional System Planning Factor</v>
      </c>
      <c r="D50" s="37"/>
      <c r="E50" s="37"/>
      <c r="G50" s="53"/>
      <c r="H50" s="53">
        <v>0</v>
      </c>
      <c r="I50" s="53">
        <f t="shared" si="19"/>
        <v>0</v>
      </c>
      <c r="J50" s="53">
        <f t="shared" si="20"/>
        <v>0</v>
      </c>
      <c r="K50" s="37"/>
      <c r="L50" s="53">
        <f t="shared" si="21"/>
        <v>0</v>
      </c>
      <c r="M50" s="54">
        <f t="shared" si="22"/>
        <v>0</v>
      </c>
      <c r="N50" s="54"/>
      <c r="O50" s="54">
        <f t="shared" si="23"/>
        <v>0</v>
      </c>
      <c r="P50" s="54">
        <f t="shared" si="24"/>
        <v>0</v>
      </c>
      <c r="Q50" s="51" t="s">
        <v>98</v>
      </c>
    </row>
    <row r="51" spans="1:24" ht="14" x14ac:dyDescent="0.3">
      <c r="A51" s="57">
        <f t="shared" si="0"/>
        <v>51</v>
      </c>
      <c r="B51" s="31"/>
      <c r="C51" s="28" t="str">
        <f>+'EMA R3'!C51</f>
        <v>Electric Vehicle Factor</v>
      </c>
      <c r="D51" s="37"/>
      <c r="E51" s="37"/>
      <c r="G51" s="53"/>
      <c r="H51" s="53">
        <v>1.3799999999999999E-3</v>
      </c>
      <c r="I51" s="53">
        <f t="shared" si="19"/>
        <v>1.3799999999999999E-3</v>
      </c>
      <c r="J51" s="53">
        <f t="shared" si="20"/>
        <v>1.3799999999999999E-3</v>
      </c>
      <c r="K51" s="37"/>
      <c r="L51" s="53">
        <f t="shared" si="21"/>
        <v>1.3799999999999999E-3</v>
      </c>
      <c r="M51" s="54">
        <f t="shared" si="22"/>
        <v>0</v>
      </c>
      <c r="N51" s="54"/>
      <c r="O51" s="54">
        <f t="shared" si="23"/>
        <v>0</v>
      </c>
      <c r="P51" s="54">
        <f t="shared" si="24"/>
        <v>0</v>
      </c>
      <c r="Q51" s="51" t="s">
        <v>100</v>
      </c>
    </row>
    <row r="52" spans="1:24" ht="14" x14ac:dyDescent="0.3">
      <c r="A52" s="57">
        <f t="shared" si="0"/>
        <v>52</v>
      </c>
      <c r="B52" s="31"/>
      <c r="C52" s="28" t="str">
        <f>+'EMA R3'!C52</f>
        <v>Transition</v>
      </c>
      <c r="D52" s="37"/>
      <c r="E52" s="37"/>
      <c r="G52" s="53"/>
      <c r="H52" s="53">
        <v>-3.6999999999999999E-4</v>
      </c>
      <c r="I52" s="53">
        <f t="shared" si="19"/>
        <v>-3.6999999999999999E-4</v>
      </c>
      <c r="J52" s="53">
        <f t="shared" si="20"/>
        <v>-3.6999999999999999E-4</v>
      </c>
      <c r="K52" s="37"/>
      <c r="L52" s="53">
        <f t="shared" si="21"/>
        <v>-3.6999999999999999E-4</v>
      </c>
      <c r="M52" s="54">
        <f t="shared" si="22"/>
        <v>0</v>
      </c>
      <c r="N52" s="54"/>
      <c r="O52" s="54">
        <f t="shared" si="23"/>
        <v>0</v>
      </c>
      <c r="P52" s="54">
        <f t="shared" si="24"/>
        <v>0</v>
      </c>
      <c r="Q52" s="51" t="s">
        <v>102</v>
      </c>
    </row>
    <row r="53" spans="1:24" ht="14" x14ac:dyDescent="0.3">
      <c r="A53" s="57">
        <f t="shared" si="0"/>
        <v>53</v>
      </c>
      <c r="B53" s="31"/>
      <c r="C53" s="28" t="str">
        <f>+'EMA R3'!C53</f>
        <v>Transmission Energy</v>
      </c>
      <c r="D53" s="37"/>
      <c r="E53" s="37"/>
      <c r="G53" s="53"/>
      <c r="H53" s="53">
        <v>4.052E-2</v>
      </c>
      <c r="I53" s="53">
        <f t="shared" si="19"/>
        <v>4.052E-2</v>
      </c>
      <c r="J53" s="53">
        <f t="shared" si="20"/>
        <v>4.052E-2</v>
      </c>
      <c r="K53" s="37"/>
      <c r="L53" s="53">
        <f t="shared" si="21"/>
        <v>4.052E-2</v>
      </c>
      <c r="M53" s="54">
        <f t="shared" si="22"/>
        <v>0</v>
      </c>
      <c r="N53" s="54"/>
      <c r="O53" s="54">
        <f t="shared" si="23"/>
        <v>0</v>
      </c>
      <c r="P53" s="54">
        <f t="shared" si="24"/>
        <v>0</v>
      </c>
      <c r="Q53" s="51" t="s">
        <v>104</v>
      </c>
    </row>
    <row r="54" spans="1:24" ht="14" x14ac:dyDescent="0.3">
      <c r="A54" s="57">
        <f t="shared" si="0"/>
        <v>54</v>
      </c>
      <c r="B54" s="31"/>
      <c r="C54" s="28" t="str">
        <f>+'EMA R3'!C54</f>
        <v>Energy Efficiency Reconciliation Factor</v>
      </c>
      <c r="D54" s="37"/>
      <c r="E54" s="37"/>
      <c r="G54" s="53"/>
      <c r="H54" s="53">
        <v>2.861E-2</v>
      </c>
      <c r="I54" s="53">
        <v>3.7179999999999998E-2</v>
      </c>
      <c r="J54" s="53">
        <v>3.9489999999999997E-2</v>
      </c>
      <c r="K54" s="53"/>
      <c r="L54" s="53">
        <v>4.3970000000000002E-2</v>
      </c>
      <c r="M54" s="54">
        <f t="shared" si="22"/>
        <v>8.5699999999999978E-3</v>
      </c>
      <c r="N54" s="54"/>
      <c r="O54" s="54">
        <f t="shared" si="23"/>
        <v>2.3099999999999996E-3</v>
      </c>
      <c r="P54" s="54">
        <f t="shared" si="24"/>
        <v>4.4800000000000048E-3</v>
      </c>
      <c r="Q54" s="51" t="s">
        <v>106</v>
      </c>
    </row>
    <row r="55" spans="1:24" ht="14" x14ac:dyDescent="0.3">
      <c r="A55" s="57">
        <f t="shared" si="0"/>
        <v>55</v>
      </c>
      <c r="B55" s="31"/>
      <c r="C55" s="28" t="str">
        <f>+'EMA R3'!C55</f>
        <v>System Benefits Charge</v>
      </c>
      <c r="D55" s="37"/>
      <c r="E55" s="37"/>
      <c r="G55" s="53"/>
      <c r="H55" s="53">
        <v>2.5000000000000001E-3</v>
      </c>
      <c r="I55" s="53">
        <f t="shared" si="19"/>
        <v>2.5000000000000001E-3</v>
      </c>
      <c r="J55" s="53">
        <f t="shared" si="20"/>
        <v>2.5000000000000001E-3</v>
      </c>
      <c r="K55" s="37"/>
      <c r="L55" s="53">
        <f t="shared" si="21"/>
        <v>2.5000000000000001E-3</v>
      </c>
      <c r="M55" s="54">
        <f t="shared" si="22"/>
        <v>0</v>
      </c>
      <c r="N55" s="54"/>
      <c r="O55" s="54">
        <f t="shared" si="23"/>
        <v>0</v>
      </c>
      <c r="P55" s="54">
        <f t="shared" si="24"/>
        <v>0</v>
      </c>
      <c r="Q55" s="51" t="s">
        <v>108</v>
      </c>
    </row>
    <row r="56" spans="1:24" ht="14" x14ac:dyDescent="0.3">
      <c r="A56" s="57">
        <f t="shared" si="0"/>
        <v>56</v>
      </c>
      <c r="B56" s="31"/>
      <c r="C56" s="28" t="str">
        <f>+'EMA R3'!C56</f>
        <v>Renewable Energy Charge</v>
      </c>
      <c r="D56" s="37"/>
      <c r="E56" s="37"/>
      <c r="G56" s="53"/>
      <c r="H56" s="53">
        <v>5.0000000000000001E-4</v>
      </c>
      <c r="I56" s="53">
        <f t="shared" si="19"/>
        <v>5.0000000000000001E-4</v>
      </c>
      <c r="J56" s="53">
        <f t="shared" si="20"/>
        <v>5.0000000000000001E-4</v>
      </c>
      <c r="K56" s="37"/>
      <c r="L56" s="53">
        <f t="shared" si="21"/>
        <v>5.0000000000000001E-4</v>
      </c>
      <c r="M56" s="54">
        <f t="shared" si="22"/>
        <v>0</v>
      </c>
      <c r="N56" s="54"/>
      <c r="O56" s="54">
        <f t="shared" si="23"/>
        <v>0</v>
      </c>
      <c r="P56" s="54">
        <f t="shared" si="24"/>
        <v>0</v>
      </c>
      <c r="Q56" s="51" t="s">
        <v>110</v>
      </c>
    </row>
    <row r="57" spans="1:24" ht="14" x14ac:dyDescent="0.3">
      <c r="A57" s="57">
        <f t="shared" si="0"/>
        <v>57</v>
      </c>
      <c r="B57" s="31"/>
      <c r="C57" s="28" t="str">
        <f>+'EMA R3'!C57</f>
        <v>Basic Service Charge</v>
      </c>
      <c r="D57" s="37"/>
      <c r="E57" s="37"/>
      <c r="G57" s="53"/>
      <c r="H57" s="53">
        <v>0.14022999999999999</v>
      </c>
      <c r="I57" s="53">
        <f t="shared" si="19"/>
        <v>0.14022999999999999</v>
      </c>
      <c r="J57" s="53">
        <f t="shared" si="20"/>
        <v>0.14022999999999999</v>
      </c>
      <c r="K57" s="37"/>
      <c r="L57" s="53">
        <f t="shared" si="21"/>
        <v>0.14022999999999999</v>
      </c>
      <c r="M57" s="54">
        <f t="shared" si="22"/>
        <v>0</v>
      </c>
      <c r="N57" s="54"/>
      <c r="O57" s="54">
        <f t="shared" si="23"/>
        <v>0</v>
      </c>
      <c r="P57" s="54">
        <f t="shared" si="24"/>
        <v>0</v>
      </c>
      <c r="Q57" s="51" t="s">
        <v>112</v>
      </c>
    </row>
    <row r="58" spans="1:24" ht="14" x14ac:dyDescent="0.3">
      <c r="A58" s="31"/>
      <c r="B58" s="31"/>
      <c r="D58" s="37"/>
      <c r="E58" s="37"/>
      <c r="G58" s="53"/>
      <c r="H58" s="53"/>
      <c r="I58" s="65"/>
      <c r="J58" s="65"/>
      <c r="K58" s="37"/>
      <c r="L58" s="65"/>
      <c r="M58" s="65"/>
      <c r="N58" s="65"/>
      <c r="O58" s="65"/>
      <c r="X58" s="51"/>
    </row>
    <row r="59" spans="1:24" ht="14" x14ac:dyDescent="0.3">
      <c r="A59" s="31"/>
      <c r="B59" s="31"/>
      <c r="D59" s="37"/>
      <c r="E59" s="37"/>
      <c r="G59" s="55"/>
      <c r="H59" s="55"/>
      <c r="I59" s="55"/>
      <c r="J59" s="55"/>
      <c r="K59" s="37"/>
      <c r="L59" s="37"/>
    </row>
    <row r="60" spans="1:24" ht="14" x14ac:dyDescent="0.3">
      <c r="A60" s="31"/>
      <c r="B60" s="31"/>
      <c r="C60" s="28" t="s">
        <v>113</v>
      </c>
      <c r="D60" s="37"/>
      <c r="E60" s="37"/>
      <c r="G60" s="55"/>
      <c r="H60" s="55">
        <f>SUM(H31:H56)</f>
        <v>0.16949</v>
      </c>
      <c r="I60" s="55">
        <f>SUM(I31:I56)</f>
        <v>0.17806</v>
      </c>
      <c r="J60" s="55">
        <f>SUM(J31:J56)</f>
        <v>0.18037</v>
      </c>
      <c r="K60" s="37"/>
      <c r="L60" s="55">
        <f>SUM(L31:L56)</f>
        <v>0.18485000000000001</v>
      </c>
    </row>
    <row r="61" spans="1:24" ht="14" x14ac:dyDescent="0.3">
      <c r="C61" s="28" t="s">
        <v>114</v>
      </c>
      <c r="D61" s="37"/>
      <c r="E61" s="37"/>
      <c r="G61" s="55"/>
      <c r="H61" s="55">
        <f>H57</f>
        <v>0.14022999999999999</v>
      </c>
      <c r="I61" s="55">
        <f>I57</f>
        <v>0.14022999999999999</v>
      </c>
      <c r="J61" s="55">
        <f>J57</f>
        <v>0.14022999999999999</v>
      </c>
      <c r="K61" s="37"/>
      <c r="L61" s="55">
        <f>L57</f>
        <v>0.14022999999999999</v>
      </c>
    </row>
    <row r="62" spans="1:24" ht="14" x14ac:dyDescent="0.3">
      <c r="F62" s="28"/>
    </row>
  </sheetData>
  <mergeCells count="7">
    <mergeCell ref="Z10:AA10"/>
    <mergeCell ref="D10:F10"/>
    <mergeCell ref="H10:J10"/>
    <mergeCell ref="L10:M10"/>
    <mergeCell ref="O10:Q10"/>
    <mergeCell ref="S10:T10"/>
    <mergeCell ref="V10:X10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6E98-3F95-4EE5-9F52-2AB64B129D23}">
  <sheetPr>
    <tabColor theme="3" tint="0.59999389629810485"/>
    <pageSetUpPr fitToPage="1"/>
  </sheetPr>
  <dimension ref="A1:AA62"/>
  <sheetViews>
    <sheetView zoomScaleNormal="100" workbookViewId="0"/>
  </sheetViews>
  <sheetFormatPr defaultColWidth="8.7265625" defaultRowHeight="13" x14ac:dyDescent="0.3"/>
  <cols>
    <col min="1" max="1" width="4" style="58" bestFit="1" customWidth="1"/>
    <col min="2" max="2" width="5.54296875" style="58" bestFit="1" customWidth="1"/>
    <col min="3" max="6" width="12" style="58" customWidth="1"/>
    <col min="7" max="7" width="2" style="58" customWidth="1"/>
    <col min="8" max="10" width="12" style="58" customWidth="1"/>
    <col min="11" max="11" width="2" style="58" customWidth="1"/>
    <col min="12" max="13" width="12" style="58" customWidth="1"/>
    <col min="14" max="14" width="2" style="58" customWidth="1"/>
    <col min="15" max="17" width="12" style="58" customWidth="1"/>
    <col min="18" max="18" width="2" style="58" customWidth="1"/>
    <col min="19" max="20" width="12" style="58" customWidth="1"/>
    <col min="21" max="21" width="2" style="58" customWidth="1"/>
    <col min="22" max="24" width="12" style="58" customWidth="1"/>
    <col min="25" max="25" width="2" style="58" customWidth="1"/>
    <col min="26" max="27" width="12" style="58" customWidth="1"/>
    <col min="28" max="16384" width="8.7265625" style="58"/>
  </cols>
  <sheetData>
    <row r="1" spans="1:27" x14ac:dyDescent="0.3">
      <c r="A1" s="57">
        <v>1</v>
      </c>
    </row>
    <row r="2" spans="1:27" x14ac:dyDescent="0.3">
      <c r="A2" s="57">
        <f>A1+1</f>
        <v>2</v>
      </c>
    </row>
    <row r="3" spans="1:27" ht="14" x14ac:dyDescent="0.3">
      <c r="A3" s="57">
        <f t="shared" ref="A3:A58" si="0">A2+1</f>
        <v>3</v>
      </c>
      <c r="B3" s="24" t="s">
        <v>40</v>
      </c>
    </row>
    <row r="4" spans="1:27" ht="14" x14ac:dyDescent="0.3">
      <c r="A4" s="57">
        <f t="shared" si="0"/>
        <v>4</v>
      </c>
      <c r="B4" s="24" t="s">
        <v>41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</row>
    <row r="5" spans="1:27" ht="14" x14ac:dyDescent="0.3">
      <c r="A5" s="57">
        <f t="shared" si="0"/>
        <v>5</v>
      </c>
      <c r="B5" s="2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</row>
    <row r="6" spans="1:27" ht="14" x14ac:dyDescent="0.3">
      <c r="A6" s="57">
        <f t="shared" si="0"/>
        <v>6</v>
      </c>
      <c r="B6" s="24" t="s">
        <v>120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</row>
    <row r="7" spans="1:27" ht="14" x14ac:dyDescent="0.3">
      <c r="A7" s="57">
        <f t="shared" si="0"/>
        <v>7</v>
      </c>
      <c r="B7" s="57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2"/>
    </row>
    <row r="8" spans="1:27" ht="14" x14ac:dyDescent="0.3">
      <c r="A8" s="57">
        <f t="shared" si="0"/>
        <v>8</v>
      </c>
      <c r="B8" s="27"/>
      <c r="C8" s="28"/>
      <c r="D8" s="28"/>
      <c r="E8" s="28"/>
      <c r="F8" s="29"/>
      <c r="G8" s="28"/>
    </row>
    <row r="9" spans="1:27" ht="14" x14ac:dyDescent="0.3">
      <c r="A9" s="57">
        <f t="shared" si="0"/>
        <v>9</v>
      </c>
      <c r="B9" s="27"/>
      <c r="C9" s="28"/>
      <c r="D9" s="28"/>
      <c r="E9" s="28"/>
      <c r="F9" s="30"/>
      <c r="G9" s="28"/>
    </row>
    <row r="10" spans="1:27" ht="14" x14ac:dyDescent="0.3">
      <c r="A10" s="57">
        <f t="shared" si="0"/>
        <v>10</v>
      </c>
      <c r="B10" s="31"/>
      <c r="C10" s="27" t="s">
        <v>2</v>
      </c>
      <c r="D10" s="32" t="str">
        <f>'EMA R1'!D10</f>
        <v>2024 Monthly Bill</v>
      </c>
      <c r="E10" s="32"/>
      <c r="F10" s="32"/>
      <c r="G10" s="33"/>
      <c r="H10" s="32" t="str">
        <f>'EMA R1'!H10</f>
        <v>2025 Illustrative Monthly Bill</v>
      </c>
      <c r="I10" s="32"/>
      <c r="J10" s="32"/>
      <c r="K10" s="23"/>
      <c r="L10" s="32" t="str">
        <f>'EMA R1'!L10</f>
        <v>2025 vs. 2024</v>
      </c>
      <c r="M10" s="32"/>
      <c r="N10" s="27"/>
      <c r="O10" s="32" t="str">
        <f>'EMA R1'!O10</f>
        <v>2026 Illustrative Monthly Bill</v>
      </c>
      <c r="P10" s="32"/>
      <c r="Q10" s="32"/>
      <c r="R10" s="33"/>
      <c r="S10" s="32" t="str">
        <f>'EMA R1'!S10</f>
        <v>2026 vs. 2025</v>
      </c>
      <c r="T10" s="32"/>
      <c r="U10" s="23"/>
      <c r="V10" s="32" t="str">
        <f>'EMA R1'!V10</f>
        <v>2027 Illustrative Monthly Bill</v>
      </c>
      <c r="W10" s="32"/>
      <c r="X10" s="32"/>
      <c r="Y10" s="33"/>
      <c r="Z10" s="32" t="str">
        <f>'EMA R1'!Z10</f>
        <v>2027 vs. 2026</v>
      </c>
      <c r="AA10" s="32"/>
    </row>
    <row r="11" spans="1:27" ht="14" x14ac:dyDescent="0.3">
      <c r="A11" s="57">
        <f t="shared" si="0"/>
        <v>11</v>
      </c>
      <c r="B11" s="31"/>
      <c r="C11" s="34" t="s">
        <v>47</v>
      </c>
      <c r="D11" s="34" t="s">
        <v>48</v>
      </c>
      <c r="E11" s="34" t="s">
        <v>49</v>
      </c>
      <c r="F11" s="34" t="s">
        <v>50</v>
      </c>
      <c r="G11" s="34"/>
      <c r="H11" s="34" t="s">
        <v>48</v>
      </c>
      <c r="I11" s="34" t="s">
        <v>49</v>
      </c>
      <c r="J11" s="34" t="s">
        <v>50</v>
      </c>
      <c r="K11" s="23"/>
      <c r="L11" s="34" t="s">
        <v>51</v>
      </c>
      <c r="M11" s="34" t="s">
        <v>14</v>
      </c>
      <c r="N11" s="34"/>
      <c r="O11" s="34" t="s">
        <v>48</v>
      </c>
      <c r="P11" s="34" t="s">
        <v>49</v>
      </c>
      <c r="Q11" s="34" t="s">
        <v>50</v>
      </c>
      <c r="R11" s="34"/>
      <c r="S11" s="34" t="s">
        <v>51</v>
      </c>
      <c r="T11" s="34" t="s">
        <v>14</v>
      </c>
      <c r="U11" s="23"/>
      <c r="V11" s="34" t="s">
        <v>48</v>
      </c>
      <c r="W11" s="34" t="s">
        <v>49</v>
      </c>
      <c r="X11" s="34" t="s">
        <v>50</v>
      </c>
      <c r="Y11" s="34"/>
      <c r="Z11" s="34" t="s">
        <v>51</v>
      </c>
      <c r="AA11" s="34" t="s">
        <v>14</v>
      </c>
    </row>
    <row r="12" spans="1:27" ht="14" x14ac:dyDescent="0.3">
      <c r="A12" s="57">
        <f t="shared" si="0"/>
        <v>12</v>
      </c>
      <c r="B12" s="31"/>
      <c r="C12" s="35">
        <v>100</v>
      </c>
      <c r="D12" s="36">
        <f>ROUND(($C12*SUM($H$31:$H$56)+$H$30)*(1-$H$58),2)</f>
        <v>15.63</v>
      </c>
      <c r="E12" s="36">
        <f>ROUND(($H$57*C12)*(1-$H$58),2)</f>
        <v>9.15</v>
      </c>
      <c r="F12" s="36">
        <f>SUM(D12:E12)</f>
        <v>24.78</v>
      </c>
      <c r="G12" s="36"/>
      <c r="H12" s="36">
        <f>ROUND(($C12*SUM($I$31:$I$56)+$I$30)*(1-$I$58),2)</f>
        <v>16.13</v>
      </c>
      <c r="I12" s="36">
        <f>ROUND(($I$57*C12)*(1-$I$58),2)</f>
        <v>9.15</v>
      </c>
      <c r="J12" s="36">
        <f>SUM(H12:I12)</f>
        <v>25.28</v>
      </c>
      <c r="K12" s="37"/>
      <c r="L12" s="36">
        <f>+J12-F12</f>
        <v>0.5</v>
      </c>
      <c r="M12" s="38">
        <f>+L12/F12</f>
        <v>2.0177562550443905E-2</v>
      </c>
      <c r="N12" s="38"/>
      <c r="O12" s="36">
        <f>ROUND(($C12*SUM($J$31:$J$56)+$J$30)*(1-$J$58),2)</f>
        <v>16.260000000000002</v>
      </c>
      <c r="P12" s="36">
        <f>ROUND(($J$57*C12)*(1-$J$58),2)</f>
        <v>9.15</v>
      </c>
      <c r="Q12" s="36">
        <f>SUM(O12:P12)</f>
        <v>25.410000000000004</v>
      </c>
      <c r="R12" s="36"/>
      <c r="S12" s="36">
        <f>+Q12-J12</f>
        <v>0.13000000000000256</v>
      </c>
      <c r="T12" s="38">
        <f>+S12/J12</f>
        <v>5.1424050632912404E-3</v>
      </c>
      <c r="U12" s="23"/>
      <c r="V12" s="36">
        <f>ROUND(($C12*SUM($L$31:$L$56)+$L$30)*(1-$L$58),2)</f>
        <v>16.52</v>
      </c>
      <c r="W12" s="36">
        <f>ROUND(($L$57*C12)*(1-$L$58),2)</f>
        <v>9.15</v>
      </c>
      <c r="X12" s="36">
        <f>SUM(V12:W12)</f>
        <v>25.67</v>
      </c>
      <c r="Y12" s="36"/>
      <c r="Z12" s="36">
        <f>X12-Q12</f>
        <v>0.25999999999999801</v>
      </c>
      <c r="AA12" s="38">
        <f>+Z12/Q12</f>
        <v>1.023219205037379E-2</v>
      </c>
    </row>
    <row r="13" spans="1:27" ht="14" x14ac:dyDescent="0.3">
      <c r="A13" s="57">
        <f t="shared" si="0"/>
        <v>13</v>
      </c>
      <c r="B13" s="31"/>
      <c r="C13" s="35">
        <v>200</v>
      </c>
      <c r="D13" s="36">
        <f>ROUND(($C13*SUM($H$31:$H$56)+$H$30)*(1-$H$58),2)</f>
        <v>25.46</v>
      </c>
      <c r="E13" s="36">
        <f t="shared" ref="E13:E25" si="1">ROUND(($H$57*C13)*(1-$H$58),2)</f>
        <v>18.3</v>
      </c>
      <c r="F13" s="36">
        <f t="shared" ref="F13:F25" si="2">SUM(D13:E13)</f>
        <v>43.760000000000005</v>
      </c>
      <c r="G13" s="36"/>
      <c r="H13" s="36">
        <f t="shared" ref="H13:H25" si="3">ROUND(($C13*SUM($I$31:$I$56)+$I$30)*(1-$I$58),2)</f>
        <v>26.45</v>
      </c>
      <c r="I13" s="36">
        <f t="shared" ref="I13:I25" si="4">ROUND(($I$57*C13)*(1-$I$58),2)</f>
        <v>18.3</v>
      </c>
      <c r="J13" s="36">
        <f t="shared" ref="J13:J25" si="5">SUM(H13:I13)</f>
        <v>44.75</v>
      </c>
      <c r="K13" s="37"/>
      <c r="L13" s="36">
        <f>+J13-F13</f>
        <v>0.98999999999999488</v>
      </c>
      <c r="M13" s="38">
        <f t="shared" ref="M13:M25" si="6">+L13/F13</f>
        <v>2.2623400365630594E-2</v>
      </c>
      <c r="N13" s="38"/>
      <c r="O13" s="36">
        <f t="shared" ref="O13:O25" si="7">ROUND(($C13*SUM($J$31:$J$56)+$J$30)*(1-$J$58),2)</f>
        <v>26.72</v>
      </c>
      <c r="P13" s="36">
        <f t="shared" ref="P13:P25" si="8">ROUND(($J$57*C13)*(1-$J$58),2)</f>
        <v>18.3</v>
      </c>
      <c r="Q13" s="36">
        <f t="shared" ref="Q13:Q25" si="9">SUM(O13:P13)</f>
        <v>45.019999999999996</v>
      </c>
      <c r="R13" s="36"/>
      <c r="S13" s="36">
        <f t="shared" ref="S13:S25" si="10">+Q13-J13</f>
        <v>0.26999999999999602</v>
      </c>
      <c r="T13" s="38">
        <f>+S13/J13</f>
        <v>6.0335195530725368E-3</v>
      </c>
      <c r="U13" s="23"/>
      <c r="V13" s="36">
        <f t="shared" ref="V13:V25" si="11">ROUND(($C13*SUM($L$31:$L$56)+$L$30)*(1-$L$58),2)</f>
        <v>27.24</v>
      </c>
      <c r="W13" s="36">
        <f t="shared" ref="W13:W25" si="12">ROUND(($L$57*C13)*(1-$L$58),2)</f>
        <v>18.3</v>
      </c>
      <c r="X13" s="36">
        <f t="shared" ref="X13:X25" si="13">SUM(V13:W13)</f>
        <v>45.54</v>
      </c>
      <c r="Y13" s="36"/>
      <c r="Z13" s="36">
        <f t="shared" ref="Z13:Z25" si="14">X13-Q13</f>
        <v>0.52000000000000313</v>
      </c>
      <c r="AA13" s="38">
        <f t="shared" ref="AA13:AA25" si="15">+Z13/Q13</f>
        <v>1.1550422034651337E-2</v>
      </c>
    </row>
    <row r="14" spans="1:27" ht="14" x14ac:dyDescent="0.3">
      <c r="A14" s="57">
        <f t="shared" si="0"/>
        <v>14</v>
      </c>
      <c r="B14" s="31"/>
      <c r="C14" s="35">
        <v>300</v>
      </c>
      <c r="D14" s="36">
        <f t="shared" ref="D14:D25" si="16">ROUND(($C14*SUM($H$31:$H$56)+$H$30)*(1-$H$58),2)</f>
        <v>35.29</v>
      </c>
      <c r="E14" s="36">
        <f t="shared" si="1"/>
        <v>27.44</v>
      </c>
      <c r="F14" s="36">
        <f t="shared" si="2"/>
        <v>62.730000000000004</v>
      </c>
      <c r="G14" s="36"/>
      <c r="H14" s="36">
        <f>ROUND(($C14*SUM($I$31:$I$56)+$I$30)*(1-$I$58),2)</f>
        <v>36.78</v>
      </c>
      <c r="I14" s="36">
        <f t="shared" si="4"/>
        <v>27.44</v>
      </c>
      <c r="J14" s="36">
        <f t="shared" si="5"/>
        <v>64.22</v>
      </c>
      <c r="K14" s="37"/>
      <c r="L14" s="36">
        <f t="shared" ref="L14:L25" si="17">+J14-F14</f>
        <v>1.4899999999999949</v>
      </c>
      <c r="M14" s="38">
        <f t="shared" si="6"/>
        <v>2.3752590467081058E-2</v>
      </c>
      <c r="N14" s="38"/>
      <c r="O14" s="36">
        <f t="shared" si="7"/>
        <v>37.18</v>
      </c>
      <c r="P14" s="36">
        <f t="shared" si="8"/>
        <v>27.44</v>
      </c>
      <c r="Q14" s="36">
        <f t="shared" si="9"/>
        <v>64.62</v>
      </c>
      <c r="R14" s="36"/>
      <c r="S14" s="36">
        <f t="shared" si="10"/>
        <v>0.40000000000000568</v>
      </c>
      <c r="T14" s="38">
        <f t="shared" ref="T14:T25" si="18">+S14/J14</f>
        <v>6.2285892245407303E-3</v>
      </c>
      <c r="U14" s="23"/>
      <c r="V14" s="36">
        <f>ROUND(($C14*SUM($L$31:$L$56)+$L$30)*(1-$L$58),2)</f>
        <v>37.96</v>
      </c>
      <c r="W14" s="36">
        <f t="shared" si="12"/>
        <v>27.44</v>
      </c>
      <c r="X14" s="36">
        <f t="shared" si="13"/>
        <v>65.400000000000006</v>
      </c>
      <c r="Y14" s="36"/>
      <c r="Z14" s="36">
        <f t="shared" si="14"/>
        <v>0.78000000000000114</v>
      </c>
      <c r="AA14" s="38">
        <f t="shared" si="15"/>
        <v>1.2070566388115151E-2</v>
      </c>
    </row>
    <row r="15" spans="1:27" ht="14" x14ac:dyDescent="0.3">
      <c r="A15" s="57">
        <f t="shared" si="0"/>
        <v>15</v>
      </c>
      <c r="B15" s="31"/>
      <c r="C15" s="35">
        <v>400</v>
      </c>
      <c r="D15" s="36">
        <f t="shared" si="16"/>
        <v>45.12</v>
      </c>
      <c r="E15" s="36">
        <f t="shared" si="1"/>
        <v>36.590000000000003</v>
      </c>
      <c r="F15" s="36">
        <f t="shared" si="2"/>
        <v>81.710000000000008</v>
      </c>
      <c r="G15" s="36"/>
      <c r="H15" s="36">
        <f t="shared" si="3"/>
        <v>47.11</v>
      </c>
      <c r="I15" s="36">
        <f t="shared" si="4"/>
        <v>36.590000000000003</v>
      </c>
      <c r="J15" s="36">
        <f t="shared" si="5"/>
        <v>83.7</v>
      </c>
      <c r="K15" s="37"/>
      <c r="L15" s="36">
        <f t="shared" si="17"/>
        <v>1.9899999999999949</v>
      </c>
      <c r="M15" s="38">
        <f t="shared" si="6"/>
        <v>2.4354424183086462E-2</v>
      </c>
      <c r="N15" s="38"/>
      <c r="O15" s="36">
        <f>ROUND(($C15*SUM($J$31:$J$56)+$J$30)*(1-$J$58),2)</f>
        <v>47.65</v>
      </c>
      <c r="P15" s="36">
        <f t="shared" si="8"/>
        <v>36.590000000000003</v>
      </c>
      <c r="Q15" s="36">
        <f t="shared" si="9"/>
        <v>84.240000000000009</v>
      </c>
      <c r="R15" s="36"/>
      <c r="S15" s="36">
        <f t="shared" si="10"/>
        <v>0.54000000000000625</v>
      </c>
      <c r="T15" s="38">
        <f t="shared" si="18"/>
        <v>6.451612903225881E-3</v>
      </c>
      <c r="U15" s="23"/>
      <c r="V15" s="36">
        <f t="shared" si="11"/>
        <v>48.69</v>
      </c>
      <c r="W15" s="36">
        <f t="shared" si="12"/>
        <v>36.590000000000003</v>
      </c>
      <c r="X15" s="36">
        <f t="shared" si="13"/>
        <v>85.28</v>
      </c>
      <c r="Y15" s="36"/>
      <c r="Z15" s="36">
        <f t="shared" si="14"/>
        <v>1.039999999999992</v>
      </c>
      <c r="AA15" s="38">
        <f t="shared" si="15"/>
        <v>1.2345679012345583E-2</v>
      </c>
    </row>
    <row r="16" spans="1:27" ht="14" x14ac:dyDescent="0.3">
      <c r="A16" s="57">
        <f t="shared" si="0"/>
        <v>16</v>
      </c>
      <c r="B16" s="31"/>
      <c r="C16" s="35">
        <v>500</v>
      </c>
      <c r="D16" s="36">
        <f t="shared" si="16"/>
        <v>54.95</v>
      </c>
      <c r="E16" s="36">
        <f t="shared" si="1"/>
        <v>45.74</v>
      </c>
      <c r="F16" s="36">
        <f t="shared" si="2"/>
        <v>100.69</v>
      </c>
      <c r="G16" s="36"/>
      <c r="H16" s="36">
        <f t="shared" si="3"/>
        <v>57.44</v>
      </c>
      <c r="I16" s="36">
        <f t="shared" si="4"/>
        <v>45.74</v>
      </c>
      <c r="J16" s="36">
        <f t="shared" si="5"/>
        <v>103.18</v>
      </c>
      <c r="K16" s="37"/>
      <c r="L16" s="36">
        <f t="shared" si="17"/>
        <v>2.4900000000000091</v>
      </c>
      <c r="M16" s="38">
        <f t="shared" si="6"/>
        <v>2.4729367365180346E-2</v>
      </c>
      <c r="N16" s="38"/>
      <c r="O16" s="36">
        <f t="shared" si="7"/>
        <v>58.11</v>
      </c>
      <c r="P16" s="36">
        <f t="shared" si="8"/>
        <v>45.74</v>
      </c>
      <c r="Q16" s="36">
        <f t="shared" si="9"/>
        <v>103.85</v>
      </c>
      <c r="R16" s="36"/>
      <c r="S16" s="36">
        <f t="shared" si="10"/>
        <v>0.66999999999998749</v>
      </c>
      <c r="T16" s="38">
        <f t="shared" si="18"/>
        <v>6.4935064935063716E-3</v>
      </c>
      <c r="U16" s="23"/>
      <c r="V16" s="36">
        <f t="shared" si="11"/>
        <v>59.41</v>
      </c>
      <c r="W16" s="36">
        <f t="shared" si="12"/>
        <v>45.74</v>
      </c>
      <c r="X16" s="36">
        <f t="shared" si="13"/>
        <v>105.15</v>
      </c>
      <c r="Y16" s="36"/>
      <c r="Z16" s="36">
        <f t="shared" si="14"/>
        <v>1.3000000000000114</v>
      </c>
      <c r="AA16" s="38">
        <f t="shared" si="15"/>
        <v>1.2518054886856152E-2</v>
      </c>
    </row>
    <row r="17" spans="1:27" ht="14" x14ac:dyDescent="0.3">
      <c r="A17" s="57">
        <f t="shared" si="0"/>
        <v>17</v>
      </c>
      <c r="B17" s="31"/>
      <c r="C17" s="35">
        <v>600</v>
      </c>
      <c r="D17" s="36">
        <f t="shared" si="16"/>
        <v>64.78</v>
      </c>
      <c r="E17" s="36">
        <f>ROUND(($H$57*C17)*(1-$H$58),2)</f>
        <v>54.89</v>
      </c>
      <c r="F17" s="36">
        <f t="shared" si="2"/>
        <v>119.67</v>
      </c>
      <c r="G17" s="36"/>
      <c r="H17" s="36">
        <f t="shared" si="3"/>
        <v>67.760000000000005</v>
      </c>
      <c r="I17" s="36">
        <f t="shared" si="4"/>
        <v>54.89</v>
      </c>
      <c r="J17" s="36">
        <f t="shared" si="5"/>
        <v>122.65</v>
      </c>
      <c r="K17" s="37"/>
      <c r="L17" s="36">
        <f t="shared" si="17"/>
        <v>2.980000000000004</v>
      </c>
      <c r="M17" s="38">
        <f t="shared" si="6"/>
        <v>2.4901813319963266E-2</v>
      </c>
      <c r="N17" s="38"/>
      <c r="O17" s="36">
        <f t="shared" si="7"/>
        <v>68.569999999999993</v>
      </c>
      <c r="P17" s="36">
        <f t="shared" si="8"/>
        <v>54.89</v>
      </c>
      <c r="Q17" s="36">
        <f>SUM(O17:P17)</f>
        <v>123.46</v>
      </c>
      <c r="R17" s="36"/>
      <c r="S17" s="36">
        <f t="shared" si="10"/>
        <v>0.80999999999998806</v>
      </c>
      <c r="T17" s="38">
        <f t="shared" si="18"/>
        <v>6.6041581736648028E-3</v>
      </c>
      <c r="U17" s="23"/>
      <c r="V17" s="36">
        <f t="shared" si="11"/>
        <v>70.13</v>
      </c>
      <c r="W17" s="36">
        <f t="shared" si="12"/>
        <v>54.89</v>
      </c>
      <c r="X17" s="36">
        <f t="shared" si="13"/>
        <v>125.02</v>
      </c>
      <c r="Y17" s="36"/>
      <c r="Z17" s="36">
        <f t="shared" si="14"/>
        <v>1.5600000000000023</v>
      </c>
      <c r="AA17" s="38">
        <f t="shared" si="15"/>
        <v>1.2635671472541733E-2</v>
      </c>
    </row>
    <row r="18" spans="1:27" ht="14" x14ac:dyDescent="0.3">
      <c r="A18" s="57">
        <f t="shared" si="0"/>
        <v>18</v>
      </c>
      <c r="B18" s="31"/>
      <c r="C18" s="35">
        <v>700</v>
      </c>
      <c r="D18" s="36">
        <f t="shared" si="16"/>
        <v>74.61</v>
      </c>
      <c r="E18" s="36">
        <f t="shared" si="1"/>
        <v>64.03</v>
      </c>
      <c r="F18" s="36">
        <f t="shared" si="2"/>
        <v>138.63999999999999</v>
      </c>
      <c r="G18" s="36"/>
      <c r="H18" s="36">
        <f t="shared" si="3"/>
        <v>78.09</v>
      </c>
      <c r="I18" s="36">
        <f>ROUND(($I$57*C18)*(1-$I$58),2)</f>
        <v>64.03</v>
      </c>
      <c r="J18" s="36">
        <f t="shared" si="5"/>
        <v>142.12</v>
      </c>
      <c r="K18" s="37"/>
      <c r="L18" s="36">
        <f t="shared" si="17"/>
        <v>3.4800000000000182</v>
      </c>
      <c r="M18" s="38">
        <f t="shared" si="6"/>
        <v>2.5100980957876648E-2</v>
      </c>
      <c r="N18" s="38"/>
      <c r="O18" s="36">
        <f t="shared" si="7"/>
        <v>79.03</v>
      </c>
      <c r="P18" s="36">
        <f t="shared" si="8"/>
        <v>64.03</v>
      </c>
      <c r="Q18" s="36">
        <f t="shared" si="9"/>
        <v>143.06</v>
      </c>
      <c r="R18" s="36"/>
      <c r="S18" s="36">
        <f t="shared" si="10"/>
        <v>0.93999999999999773</v>
      </c>
      <c r="T18" s="38">
        <f t="shared" si="18"/>
        <v>6.6141289051505608E-3</v>
      </c>
      <c r="U18" s="23"/>
      <c r="V18" s="36">
        <f t="shared" si="11"/>
        <v>80.849999999999994</v>
      </c>
      <c r="W18" s="36">
        <f t="shared" si="12"/>
        <v>64.03</v>
      </c>
      <c r="X18" s="36">
        <f t="shared" si="13"/>
        <v>144.88</v>
      </c>
      <c r="Y18" s="36"/>
      <c r="Z18" s="36">
        <f t="shared" si="14"/>
        <v>1.8199999999999932</v>
      </c>
      <c r="AA18" s="38">
        <f t="shared" si="15"/>
        <v>1.2721934852509388E-2</v>
      </c>
    </row>
    <row r="19" spans="1:27" ht="14" x14ac:dyDescent="0.3">
      <c r="A19" s="57">
        <f t="shared" si="0"/>
        <v>19</v>
      </c>
      <c r="B19" s="31"/>
      <c r="C19" s="35">
        <v>800</v>
      </c>
      <c r="D19" s="36">
        <f t="shared" si="16"/>
        <v>84.44</v>
      </c>
      <c r="E19" s="36">
        <f t="shared" si="1"/>
        <v>73.180000000000007</v>
      </c>
      <c r="F19" s="36">
        <f t="shared" si="2"/>
        <v>157.62</v>
      </c>
      <c r="G19" s="36"/>
      <c r="H19" s="36">
        <f t="shared" si="3"/>
        <v>88.42</v>
      </c>
      <c r="I19" s="36">
        <f t="shared" si="4"/>
        <v>73.180000000000007</v>
      </c>
      <c r="J19" s="36">
        <f t="shared" si="5"/>
        <v>161.60000000000002</v>
      </c>
      <c r="K19" s="37"/>
      <c r="L19" s="36">
        <f t="shared" si="17"/>
        <v>3.9800000000000182</v>
      </c>
      <c r="M19" s="38">
        <f t="shared" si="6"/>
        <v>2.5250602715391562E-2</v>
      </c>
      <c r="N19" s="38"/>
      <c r="O19" s="36">
        <f t="shared" si="7"/>
        <v>89.49</v>
      </c>
      <c r="P19" s="36">
        <f>ROUND(($J$57*C19)*(1-$J$58),2)</f>
        <v>73.180000000000007</v>
      </c>
      <c r="Q19" s="36">
        <f t="shared" si="9"/>
        <v>162.67000000000002</v>
      </c>
      <c r="R19" s="36"/>
      <c r="S19" s="36">
        <f>+Q19-J19</f>
        <v>1.0699999999999932</v>
      </c>
      <c r="T19" s="38">
        <f t="shared" si="18"/>
        <v>6.6212871287128277E-3</v>
      </c>
      <c r="U19" s="23"/>
      <c r="V19" s="36">
        <f t="shared" si="11"/>
        <v>91.57</v>
      </c>
      <c r="W19" s="36">
        <f>ROUND(($L$57*C19)*(1-$L$58),2)</f>
        <v>73.180000000000007</v>
      </c>
      <c r="X19" s="36">
        <f t="shared" si="13"/>
        <v>164.75</v>
      </c>
      <c r="Y19" s="36"/>
      <c r="Z19" s="36">
        <f t="shared" si="14"/>
        <v>2.0799999999999841</v>
      </c>
      <c r="AA19" s="38">
        <f t="shared" si="15"/>
        <v>1.2786623224933817E-2</v>
      </c>
    </row>
    <row r="20" spans="1:27" ht="14" x14ac:dyDescent="0.3">
      <c r="A20" s="57">
        <f t="shared" si="0"/>
        <v>20</v>
      </c>
      <c r="B20" s="31"/>
      <c r="C20" s="35">
        <v>900</v>
      </c>
      <c r="D20" s="36">
        <f t="shared" si="16"/>
        <v>94.27</v>
      </c>
      <c r="E20" s="36">
        <f t="shared" si="1"/>
        <v>82.33</v>
      </c>
      <c r="F20" s="36">
        <f t="shared" si="2"/>
        <v>176.6</v>
      </c>
      <c r="G20" s="36"/>
      <c r="H20" s="36">
        <f t="shared" si="3"/>
        <v>98.75</v>
      </c>
      <c r="I20" s="36">
        <f t="shared" si="4"/>
        <v>82.33</v>
      </c>
      <c r="J20" s="36">
        <f t="shared" si="5"/>
        <v>181.07999999999998</v>
      </c>
      <c r="K20" s="37"/>
      <c r="L20" s="36">
        <f t="shared" si="17"/>
        <v>4.4799999999999898</v>
      </c>
      <c r="M20" s="38">
        <f t="shared" si="6"/>
        <v>2.5368063420158495E-2</v>
      </c>
      <c r="N20" s="38"/>
      <c r="O20" s="36">
        <f t="shared" si="7"/>
        <v>99.95</v>
      </c>
      <c r="P20" s="36">
        <f t="shared" si="8"/>
        <v>82.33</v>
      </c>
      <c r="Q20" s="36">
        <f t="shared" si="9"/>
        <v>182.28</v>
      </c>
      <c r="R20" s="36"/>
      <c r="S20" s="36">
        <f t="shared" si="10"/>
        <v>1.2000000000000171</v>
      </c>
      <c r="T20" s="38">
        <f t="shared" si="18"/>
        <v>6.6269052352552309E-3</v>
      </c>
      <c r="U20" s="23"/>
      <c r="V20" s="36">
        <f t="shared" si="11"/>
        <v>102.29</v>
      </c>
      <c r="W20" s="36">
        <f t="shared" si="12"/>
        <v>82.33</v>
      </c>
      <c r="X20" s="36">
        <f t="shared" si="13"/>
        <v>184.62</v>
      </c>
      <c r="Y20" s="36"/>
      <c r="Z20" s="36">
        <f t="shared" si="14"/>
        <v>2.3400000000000034</v>
      </c>
      <c r="AA20" s="38">
        <f t="shared" si="15"/>
        <v>1.2837393021724838E-2</v>
      </c>
    </row>
    <row r="21" spans="1:27" ht="14" x14ac:dyDescent="0.3">
      <c r="A21" s="57">
        <f t="shared" si="0"/>
        <v>21</v>
      </c>
      <c r="B21" s="31"/>
      <c r="C21" s="35">
        <v>1000</v>
      </c>
      <c r="D21" s="36">
        <f t="shared" si="16"/>
        <v>104.1</v>
      </c>
      <c r="E21" s="36">
        <f t="shared" si="1"/>
        <v>91.48</v>
      </c>
      <c r="F21" s="36">
        <f t="shared" si="2"/>
        <v>195.57999999999998</v>
      </c>
      <c r="G21" s="36"/>
      <c r="H21" s="36">
        <f t="shared" si="3"/>
        <v>109.07</v>
      </c>
      <c r="I21" s="36">
        <f t="shared" si="4"/>
        <v>91.48</v>
      </c>
      <c r="J21" s="36">
        <f t="shared" si="5"/>
        <v>200.55</v>
      </c>
      <c r="K21" s="37"/>
      <c r="L21" s="36">
        <f t="shared" si="17"/>
        <v>4.9700000000000273</v>
      </c>
      <c r="M21" s="38">
        <f t="shared" si="6"/>
        <v>2.541159627773815E-2</v>
      </c>
      <c r="N21" s="38"/>
      <c r="O21" s="36">
        <f t="shared" si="7"/>
        <v>110.41</v>
      </c>
      <c r="P21" s="36">
        <f t="shared" si="8"/>
        <v>91.48</v>
      </c>
      <c r="Q21" s="36">
        <f t="shared" si="9"/>
        <v>201.89</v>
      </c>
      <c r="R21" s="36"/>
      <c r="S21" s="36">
        <f t="shared" si="10"/>
        <v>1.339999999999975</v>
      </c>
      <c r="T21" s="38">
        <f t="shared" si="18"/>
        <v>6.681625529792944E-3</v>
      </c>
      <c r="U21" s="23"/>
      <c r="V21" s="36">
        <f t="shared" si="11"/>
        <v>113.01</v>
      </c>
      <c r="W21" s="36">
        <f t="shared" si="12"/>
        <v>91.48</v>
      </c>
      <c r="X21" s="36">
        <f t="shared" si="13"/>
        <v>204.49</v>
      </c>
      <c r="Y21" s="36"/>
      <c r="Z21" s="36">
        <f t="shared" si="14"/>
        <v>2.6000000000000227</v>
      </c>
      <c r="AA21" s="38">
        <f t="shared" si="15"/>
        <v>1.2878300064391614E-2</v>
      </c>
    </row>
    <row r="22" spans="1:27" ht="14" x14ac:dyDescent="0.3">
      <c r="A22" s="57">
        <f t="shared" si="0"/>
        <v>22</v>
      </c>
      <c r="B22" s="31"/>
      <c r="C22" s="35">
        <v>1250</v>
      </c>
      <c r="D22" s="36">
        <f t="shared" si="16"/>
        <v>128.68</v>
      </c>
      <c r="E22" s="36">
        <f t="shared" si="1"/>
        <v>114.35</v>
      </c>
      <c r="F22" s="36">
        <f t="shared" si="2"/>
        <v>243.03</v>
      </c>
      <c r="G22" s="36"/>
      <c r="H22" s="36">
        <f t="shared" si="3"/>
        <v>134.88999999999999</v>
      </c>
      <c r="I22" s="36">
        <f t="shared" si="4"/>
        <v>114.35</v>
      </c>
      <c r="J22" s="36">
        <f t="shared" si="5"/>
        <v>249.23999999999998</v>
      </c>
      <c r="K22" s="37"/>
      <c r="L22" s="36">
        <f t="shared" si="17"/>
        <v>6.2099999999999795</v>
      </c>
      <c r="M22" s="38">
        <f t="shared" si="6"/>
        <v>2.5552400938155698E-2</v>
      </c>
      <c r="N22" s="38"/>
      <c r="O22" s="36">
        <f t="shared" si="7"/>
        <v>136.57</v>
      </c>
      <c r="P22" s="36">
        <f t="shared" si="8"/>
        <v>114.35</v>
      </c>
      <c r="Q22" s="36">
        <f t="shared" si="9"/>
        <v>250.92</v>
      </c>
      <c r="R22" s="36"/>
      <c r="S22" s="36">
        <f t="shared" si="10"/>
        <v>1.6800000000000068</v>
      </c>
      <c r="T22" s="38">
        <f t="shared" si="18"/>
        <v>6.7404910929225121E-3</v>
      </c>
      <c r="U22" s="23"/>
      <c r="V22" s="36">
        <f t="shared" si="11"/>
        <v>139.82</v>
      </c>
      <c r="W22" s="36">
        <f t="shared" si="12"/>
        <v>114.35</v>
      </c>
      <c r="X22" s="36">
        <f t="shared" si="13"/>
        <v>254.17</v>
      </c>
      <c r="Y22" s="36"/>
      <c r="Z22" s="36">
        <f t="shared" si="14"/>
        <v>3.25</v>
      </c>
      <c r="AA22" s="38">
        <f t="shared" si="15"/>
        <v>1.2952335405706998E-2</v>
      </c>
    </row>
    <row r="23" spans="1:27" ht="14" x14ac:dyDescent="0.3">
      <c r="A23" s="57">
        <f t="shared" si="0"/>
        <v>23</v>
      </c>
      <c r="B23" s="31"/>
      <c r="C23" s="35">
        <v>1500</v>
      </c>
      <c r="D23" s="36">
        <f t="shared" si="16"/>
        <v>153.26</v>
      </c>
      <c r="E23" s="36">
        <f t="shared" si="1"/>
        <v>137.22</v>
      </c>
      <c r="F23" s="36">
        <f t="shared" si="2"/>
        <v>290.48</v>
      </c>
      <c r="G23" s="36"/>
      <c r="H23" s="36">
        <f t="shared" si="3"/>
        <v>160.71</v>
      </c>
      <c r="I23" s="36">
        <f t="shared" si="4"/>
        <v>137.22</v>
      </c>
      <c r="J23" s="36">
        <f t="shared" si="5"/>
        <v>297.93</v>
      </c>
      <c r="K23" s="37"/>
      <c r="L23" s="36">
        <f t="shared" si="17"/>
        <v>7.4499999999999886</v>
      </c>
      <c r="M23" s="38">
        <f t="shared" si="6"/>
        <v>2.5647204626824526E-2</v>
      </c>
      <c r="N23" s="38"/>
      <c r="O23" s="36">
        <f t="shared" si="7"/>
        <v>162.72</v>
      </c>
      <c r="P23" s="36">
        <f t="shared" si="8"/>
        <v>137.22</v>
      </c>
      <c r="Q23" s="36">
        <f t="shared" si="9"/>
        <v>299.94</v>
      </c>
      <c r="R23" s="36"/>
      <c r="S23" s="36">
        <f t="shared" si="10"/>
        <v>2.0099999999999909</v>
      </c>
      <c r="T23" s="38">
        <f t="shared" si="18"/>
        <v>6.7465512033027582E-3</v>
      </c>
      <c r="U23" s="23"/>
      <c r="V23" s="36">
        <f t="shared" si="11"/>
        <v>166.62</v>
      </c>
      <c r="W23" s="36">
        <f t="shared" si="12"/>
        <v>137.22</v>
      </c>
      <c r="X23" s="36">
        <f t="shared" si="13"/>
        <v>303.84000000000003</v>
      </c>
      <c r="Y23" s="36"/>
      <c r="Z23" s="36">
        <f t="shared" si="14"/>
        <v>3.9000000000000341</v>
      </c>
      <c r="AA23" s="38">
        <f t="shared" si="15"/>
        <v>1.3002600520104135E-2</v>
      </c>
    </row>
    <row r="24" spans="1:27" ht="14" x14ac:dyDescent="0.3">
      <c r="A24" s="57">
        <f t="shared" si="0"/>
        <v>24</v>
      </c>
      <c r="B24" s="31"/>
      <c r="C24" s="35">
        <v>2000</v>
      </c>
      <c r="D24" s="36">
        <f t="shared" si="16"/>
        <v>202.41</v>
      </c>
      <c r="E24" s="36">
        <f t="shared" si="1"/>
        <v>182.96</v>
      </c>
      <c r="F24" s="36">
        <f t="shared" si="2"/>
        <v>385.37</v>
      </c>
      <c r="G24" s="36"/>
      <c r="H24" s="36">
        <f t="shared" si="3"/>
        <v>212.35</v>
      </c>
      <c r="I24" s="36">
        <f t="shared" si="4"/>
        <v>182.96</v>
      </c>
      <c r="J24" s="36">
        <f t="shared" si="5"/>
        <v>395.31</v>
      </c>
      <c r="K24" s="37"/>
      <c r="L24" s="36">
        <f t="shared" si="17"/>
        <v>9.9399999999999977</v>
      </c>
      <c r="M24" s="38">
        <f t="shared" si="6"/>
        <v>2.5793393362223312E-2</v>
      </c>
      <c r="N24" s="38"/>
      <c r="O24" s="36">
        <f t="shared" si="7"/>
        <v>215.03</v>
      </c>
      <c r="P24" s="36">
        <f t="shared" si="8"/>
        <v>182.96</v>
      </c>
      <c r="Q24" s="36">
        <f t="shared" si="9"/>
        <v>397.99</v>
      </c>
      <c r="R24" s="36"/>
      <c r="S24" s="36">
        <f t="shared" si="10"/>
        <v>2.6800000000000068</v>
      </c>
      <c r="T24" s="38">
        <f t="shared" si="18"/>
        <v>6.7794895145582117E-3</v>
      </c>
      <c r="U24" s="23"/>
      <c r="V24" s="36">
        <f t="shared" si="11"/>
        <v>220.23</v>
      </c>
      <c r="W24" s="36">
        <f t="shared" si="12"/>
        <v>182.96</v>
      </c>
      <c r="X24" s="36">
        <f t="shared" si="13"/>
        <v>403.19</v>
      </c>
      <c r="Y24" s="36"/>
      <c r="Z24" s="36">
        <f t="shared" si="14"/>
        <v>5.1999999999999886</v>
      </c>
      <c r="AA24" s="38">
        <f t="shared" si="15"/>
        <v>1.3065654915952633E-2</v>
      </c>
    </row>
    <row r="25" spans="1:27" ht="14" x14ac:dyDescent="0.3">
      <c r="A25" s="57">
        <f t="shared" si="0"/>
        <v>25</v>
      </c>
      <c r="B25" s="31" t="s">
        <v>52</v>
      </c>
      <c r="C25" s="35">
        <v>830</v>
      </c>
      <c r="D25" s="36">
        <f t="shared" si="16"/>
        <v>87.39</v>
      </c>
      <c r="E25" s="36">
        <f t="shared" si="1"/>
        <v>75.930000000000007</v>
      </c>
      <c r="F25" s="36">
        <f t="shared" si="2"/>
        <v>163.32</v>
      </c>
      <c r="G25" s="36"/>
      <c r="H25" s="36">
        <f t="shared" si="3"/>
        <v>91.52</v>
      </c>
      <c r="I25" s="36">
        <f t="shared" si="4"/>
        <v>75.930000000000007</v>
      </c>
      <c r="J25" s="36">
        <f t="shared" si="5"/>
        <v>167.45</v>
      </c>
      <c r="K25" s="37"/>
      <c r="L25" s="36">
        <f t="shared" si="17"/>
        <v>4.1299999999999955</v>
      </c>
      <c r="M25" s="38">
        <f t="shared" si="6"/>
        <v>2.5287778594170925E-2</v>
      </c>
      <c r="N25" s="38"/>
      <c r="O25" s="36">
        <f t="shared" si="7"/>
        <v>92.63</v>
      </c>
      <c r="P25" s="36">
        <f t="shared" si="8"/>
        <v>75.930000000000007</v>
      </c>
      <c r="Q25" s="36">
        <f t="shared" si="9"/>
        <v>168.56</v>
      </c>
      <c r="R25" s="36"/>
      <c r="S25" s="36">
        <f t="shared" si="10"/>
        <v>1.1100000000000136</v>
      </c>
      <c r="T25" s="38">
        <f t="shared" si="18"/>
        <v>6.6288444311735665E-3</v>
      </c>
      <c r="U25" s="23"/>
      <c r="V25" s="36">
        <f t="shared" si="11"/>
        <v>94.79</v>
      </c>
      <c r="W25" s="36">
        <f t="shared" si="12"/>
        <v>75.930000000000007</v>
      </c>
      <c r="X25" s="36">
        <f t="shared" si="13"/>
        <v>170.72000000000003</v>
      </c>
      <c r="Y25" s="36"/>
      <c r="Z25" s="36">
        <f t="shared" si="14"/>
        <v>2.160000000000025</v>
      </c>
      <c r="AA25" s="38">
        <f t="shared" si="15"/>
        <v>1.2814428096820272E-2</v>
      </c>
    </row>
    <row r="26" spans="1:27" ht="14" x14ac:dyDescent="0.3">
      <c r="A26" s="57">
        <f t="shared" si="0"/>
        <v>26</v>
      </c>
      <c r="B26" s="31"/>
      <c r="C26" s="41"/>
      <c r="D26" s="63"/>
      <c r="E26" s="42"/>
      <c r="F26" s="42"/>
      <c r="G26" s="43"/>
      <c r="H26" s="42"/>
      <c r="I26" s="42"/>
      <c r="J26" s="42"/>
      <c r="K26" s="43"/>
      <c r="L26" s="43"/>
      <c r="X26" s="40"/>
    </row>
    <row r="27" spans="1:27" ht="14" x14ac:dyDescent="0.3">
      <c r="A27" s="57">
        <f t="shared" si="0"/>
        <v>27</v>
      </c>
      <c r="B27" s="31"/>
      <c r="C27" s="41"/>
      <c r="D27" s="42"/>
      <c r="E27" s="42"/>
      <c r="F27" s="42"/>
      <c r="G27" s="43"/>
      <c r="H27" s="42"/>
      <c r="I27" s="42"/>
      <c r="J27" s="42"/>
      <c r="K27" s="43"/>
      <c r="L27" s="43"/>
      <c r="X27" s="40"/>
    </row>
    <row r="28" spans="1:27" ht="14" x14ac:dyDescent="0.3">
      <c r="A28" s="57">
        <f t="shared" si="0"/>
        <v>28</v>
      </c>
      <c r="B28" s="31"/>
      <c r="C28" s="44" t="s">
        <v>53</v>
      </c>
      <c r="D28" s="37"/>
      <c r="E28" s="37"/>
      <c r="G28" s="60"/>
      <c r="H28" s="45">
        <f>+'EMA R1'!H28</f>
        <v>2024</v>
      </c>
      <c r="I28" s="45">
        <f>+'EMA R1'!I28</f>
        <v>2025</v>
      </c>
      <c r="J28" s="45">
        <f>+'EMA R1'!J28</f>
        <v>2026</v>
      </c>
      <c r="K28" s="45"/>
      <c r="L28" s="45">
        <f>+'EMA R1'!L28</f>
        <v>2027</v>
      </c>
      <c r="M28" s="45" t="str">
        <f>+'EMA R1'!M28</f>
        <v>2025 v 2024</v>
      </c>
      <c r="N28" s="45"/>
      <c r="O28" s="45" t="str">
        <f>+'EMA R1'!O28</f>
        <v>2026 v 2025</v>
      </c>
      <c r="P28" s="45" t="str">
        <f>+'EMA R1'!P28</f>
        <v>2027 v 2026</v>
      </c>
    </row>
    <row r="29" spans="1:27" ht="14" x14ac:dyDescent="0.3">
      <c r="A29" s="57">
        <f t="shared" si="0"/>
        <v>29</v>
      </c>
      <c r="B29" s="31"/>
      <c r="C29" s="44" t="s">
        <v>53</v>
      </c>
      <c r="D29" s="37"/>
      <c r="E29" s="37"/>
      <c r="G29" s="60"/>
      <c r="H29" s="47" t="str">
        <f>+'EMA R1'!H29</f>
        <v>Rates</v>
      </c>
      <c r="I29" s="47" t="s">
        <v>57</v>
      </c>
      <c r="J29" s="47" t="s">
        <v>57</v>
      </c>
      <c r="K29" s="37"/>
      <c r="L29" s="47" t="s">
        <v>57</v>
      </c>
      <c r="M29" s="48" t="s">
        <v>51</v>
      </c>
      <c r="N29" s="57"/>
      <c r="O29" s="48" t="s">
        <v>51</v>
      </c>
      <c r="P29" s="48" t="s">
        <v>51</v>
      </c>
    </row>
    <row r="30" spans="1:27" ht="14" x14ac:dyDescent="0.3">
      <c r="A30" s="57">
        <f t="shared" si="0"/>
        <v>30</v>
      </c>
      <c r="B30" s="31"/>
      <c r="C30" s="28" t="str">
        <f>+'EMA R2'!C30</f>
        <v>Customer Charge</v>
      </c>
      <c r="D30" s="37"/>
      <c r="E30" s="37"/>
      <c r="G30" s="37"/>
      <c r="H30" s="49">
        <v>10</v>
      </c>
      <c r="I30" s="49">
        <f t="shared" ref="I30:I58" si="19">+H30</f>
        <v>10</v>
      </c>
      <c r="J30" s="49">
        <f t="shared" ref="J30:J58" si="20">H30</f>
        <v>10</v>
      </c>
      <c r="K30" s="37"/>
      <c r="L30" s="49">
        <f t="shared" ref="L30:L58" si="21">H30</f>
        <v>10</v>
      </c>
      <c r="M30" s="50">
        <f t="shared" ref="M30:M58" si="22">+I30-H30</f>
        <v>0</v>
      </c>
      <c r="N30" s="50"/>
      <c r="O30" s="50">
        <f t="shared" ref="O30:O58" si="23">+J30-I30</f>
        <v>0</v>
      </c>
      <c r="P30" s="50">
        <f t="shared" ref="P30:P58" si="24">+L30-J30</f>
        <v>0</v>
      </c>
      <c r="Q30" s="51" t="s">
        <v>59</v>
      </c>
    </row>
    <row r="31" spans="1:27" ht="14" x14ac:dyDescent="0.3">
      <c r="A31" s="57">
        <f t="shared" si="0"/>
        <v>31</v>
      </c>
      <c r="B31" s="31"/>
      <c r="C31" s="28" t="str">
        <f>+'EMA R2'!C31</f>
        <v>Distribution Energy</v>
      </c>
      <c r="D31" s="37"/>
      <c r="E31" s="37"/>
      <c r="G31" s="55"/>
      <c r="H31" s="53">
        <v>5.296E-2</v>
      </c>
      <c r="I31" s="53">
        <f t="shared" si="19"/>
        <v>5.296E-2</v>
      </c>
      <c r="J31" s="53">
        <f t="shared" si="20"/>
        <v>5.296E-2</v>
      </c>
      <c r="K31" s="37"/>
      <c r="L31" s="53">
        <f t="shared" si="21"/>
        <v>5.296E-2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51" t="s">
        <v>59</v>
      </c>
    </row>
    <row r="32" spans="1:27" ht="14" x14ac:dyDescent="0.3">
      <c r="A32" s="57">
        <f t="shared" si="0"/>
        <v>32</v>
      </c>
      <c r="B32" s="31"/>
      <c r="C32" s="52" t="s">
        <v>61</v>
      </c>
      <c r="D32" s="37"/>
      <c r="E32" s="37"/>
      <c r="G32" s="55"/>
      <c r="H32" s="53">
        <v>1.01E-3</v>
      </c>
      <c r="I32" s="53">
        <f t="shared" si="19"/>
        <v>1.01E-3</v>
      </c>
      <c r="J32" s="53">
        <f t="shared" si="20"/>
        <v>1.01E-3</v>
      </c>
      <c r="K32" s="37"/>
      <c r="L32" s="53">
        <f t="shared" si="21"/>
        <v>1.01E-3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51" t="s">
        <v>62</v>
      </c>
    </row>
    <row r="33" spans="1:17" ht="14" x14ac:dyDescent="0.3">
      <c r="A33" s="57">
        <f t="shared" si="0"/>
        <v>33</v>
      </c>
      <c r="B33" s="31"/>
      <c r="C33" s="28" t="str">
        <f>+'EMA R2'!C33</f>
        <v>Revenue Decoupling</v>
      </c>
      <c r="D33" s="37"/>
      <c r="E33" s="37"/>
      <c r="G33" s="53"/>
      <c r="H33" s="53">
        <v>6.0000000000000002E-5</v>
      </c>
      <c r="I33" s="53">
        <f t="shared" si="19"/>
        <v>6.0000000000000002E-5</v>
      </c>
      <c r="J33" s="53">
        <f t="shared" si="20"/>
        <v>6.0000000000000002E-5</v>
      </c>
      <c r="K33" s="37"/>
      <c r="L33" s="53">
        <f t="shared" si="21"/>
        <v>6.0000000000000002E-5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51" t="s">
        <v>64</v>
      </c>
    </row>
    <row r="34" spans="1:17" ht="14" x14ac:dyDescent="0.3">
      <c r="A34" s="57">
        <f t="shared" si="0"/>
        <v>34</v>
      </c>
      <c r="B34" s="31"/>
      <c r="C34" s="28" t="str">
        <f>+'EMA R2'!C34</f>
        <v>Distributed Solar Charge</v>
      </c>
      <c r="D34" s="37"/>
      <c r="E34" s="37"/>
      <c r="G34" s="53"/>
      <c r="H34" s="53">
        <v>8.0000000000000002E-3</v>
      </c>
      <c r="I34" s="53">
        <f t="shared" si="19"/>
        <v>8.0000000000000002E-3</v>
      </c>
      <c r="J34" s="53">
        <f t="shared" si="20"/>
        <v>8.0000000000000002E-3</v>
      </c>
      <c r="K34" s="37"/>
      <c r="L34" s="53">
        <f t="shared" si="21"/>
        <v>8.0000000000000002E-3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51" t="s">
        <v>66</v>
      </c>
    </row>
    <row r="35" spans="1:17" ht="14" x14ac:dyDescent="0.3">
      <c r="A35" s="57">
        <f t="shared" si="0"/>
        <v>35</v>
      </c>
      <c r="B35" s="31"/>
      <c r="C35" s="28" t="str">
        <f>+'EMA R2'!C35</f>
        <v>Residential Assistance Adjustment Factor</v>
      </c>
      <c r="D35" s="37"/>
      <c r="E35" s="37"/>
      <c r="G35" s="53"/>
      <c r="H35" s="53">
        <v>8.1600000000000006E-3</v>
      </c>
      <c r="I35" s="53">
        <f t="shared" si="19"/>
        <v>8.1600000000000006E-3</v>
      </c>
      <c r="J35" s="53">
        <f t="shared" si="20"/>
        <v>8.1600000000000006E-3</v>
      </c>
      <c r="K35" s="37"/>
      <c r="L35" s="53">
        <f t="shared" si="21"/>
        <v>8.1600000000000006E-3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51" t="s">
        <v>68</v>
      </c>
    </row>
    <row r="36" spans="1:17" ht="14" x14ac:dyDescent="0.3">
      <c r="A36" s="57">
        <f t="shared" si="0"/>
        <v>36</v>
      </c>
      <c r="B36" s="31"/>
      <c r="C36" s="28" t="str">
        <f>+'EMA R2'!C36</f>
        <v>Pension Adjustment Factor</v>
      </c>
      <c r="D36" s="37"/>
      <c r="E36" s="37"/>
      <c r="G36" s="53"/>
      <c r="H36" s="53">
        <v>8.5999999999999998E-4</v>
      </c>
      <c r="I36" s="53">
        <f t="shared" si="19"/>
        <v>8.5999999999999998E-4</v>
      </c>
      <c r="J36" s="53">
        <f t="shared" si="20"/>
        <v>8.5999999999999998E-4</v>
      </c>
      <c r="K36" s="37"/>
      <c r="L36" s="53">
        <f t="shared" si="21"/>
        <v>8.5999999999999998E-4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51" t="s">
        <v>70</v>
      </c>
    </row>
    <row r="37" spans="1:17" ht="14" x14ac:dyDescent="0.3">
      <c r="A37" s="57">
        <f t="shared" si="0"/>
        <v>37</v>
      </c>
      <c r="B37" s="31"/>
      <c r="C37" s="28" t="str">
        <f>+'EMA R2'!C37</f>
        <v>Net Metering Recovery Surcharge</v>
      </c>
      <c r="D37" s="37"/>
      <c r="E37" s="37"/>
      <c r="G37" s="53"/>
      <c r="H37" s="53">
        <v>1.6219999999999998E-2</v>
      </c>
      <c r="I37" s="53">
        <f t="shared" si="19"/>
        <v>1.6219999999999998E-2</v>
      </c>
      <c r="J37" s="53">
        <f t="shared" si="20"/>
        <v>1.6219999999999998E-2</v>
      </c>
      <c r="K37" s="37"/>
      <c r="L37" s="53">
        <f t="shared" si="21"/>
        <v>1.6219999999999998E-2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51" t="s">
        <v>72</v>
      </c>
    </row>
    <row r="38" spans="1:17" ht="14" x14ac:dyDescent="0.3">
      <c r="A38" s="57">
        <f t="shared" si="0"/>
        <v>38</v>
      </c>
      <c r="B38" s="31"/>
      <c r="C38" s="28" t="str">
        <f>+'EMA R2'!C38</f>
        <v>Long Term Renewable Contract Adjustment</v>
      </c>
      <c r="D38" s="37"/>
      <c r="E38" s="37"/>
      <c r="G38" s="53"/>
      <c r="H38" s="53">
        <v>-1.9300000000000001E-3</v>
      </c>
      <c r="I38" s="53">
        <f t="shared" si="19"/>
        <v>-1.9300000000000001E-3</v>
      </c>
      <c r="J38" s="53">
        <f t="shared" si="20"/>
        <v>-1.9300000000000001E-3</v>
      </c>
      <c r="K38" s="37"/>
      <c r="L38" s="53">
        <f t="shared" si="21"/>
        <v>-1.9300000000000001E-3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51" t="s">
        <v>74</v>
      </c>
    </row>
    <row r="39" spans="1:17" ht="14" x14ac:dyDescent="0.3">
      <c r="A39" s="57">
        <f t="shared" si="0"/>
        <v>39</v>
      </c>
      <c r="B39" s="31"/>
      <c r="C39" s="28" t="str">
        <f>+'EMA R2'!C39</f>
        <v>AG Consulting Expense</v>
      </c>
      <c r="D39" s="37"/>
      <c r="E39" s="37"/>
      <c r="G39" s="53"/>
      <c r="H39" s="53">
        <v>5.0000000000000002E-5</v>
      </c>
      <c r="I39" s="53">
        <f t="shared" si="19"/>
        <v>5.0000000000000002E-5</v>
      </c>
      <c r="J39" s="53">
        <f t="shared" si="20"/>
        <v>5.0000000000000002E-5</v>
      </c>
      <c r="K39" s="37"/>
      <c r="L39" s="53">
        <f t="shared" si="21"/>
        <v>5.0000000000000002E-5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51" t="s">
        <v>76</v>
      </c>
    </row>
    <row r="40" spans="1:17" ht="14" x14ac:dyDescent="0.3">
      <c r="A40" s="57">
        <f t="shared" si="0"/>
        <v>40</v>
      </c>
      <c r="B40" s="31"/>
      <c r="C40" s="28" t="str">
        <f>+'EMA R2'!C40</f>
        <v>Storm Cost Recovery Adjustment Factor</v>
      </c>
      <c r="D40" s="37"/>
      <c r="E40" s="37"/>
      <c r="G40" s="53"/>
      <c r="H40" s="53">
        <v>6.6299999999999996E-3</v>
      </c>
      <c r="I40" s="53">
        <f t="shared" si="19"/>
        <v>6.6299999999999996E-3</v>
      </c>
      <c r="J40" s="53">
        <f t="shared" si="20"/>
        <v>6.6299999999999996E-3</v>
      </c>
      <c r="K40" s="37"/>
      <c r="L40" s="53">
        <f t="shared" si="21"/>
        <v>6.6299999999999996E-3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51" t="s">
        <v>78</v>
      </c>
    </row>
    <row r="41" spans="1:17" ht="14" x14ac:dyDescent="0.3">
      <c r="A41" s="57">
        <f t="shared" si="0"/>
        <v>41</v>
      </c>
      <c r="B41" s="31"/>
      <c r="C41" s="28" t="str">
        <f>+'EMA R2'!C41</f>
        <v>Storm Reserve Adjustment</v>
      </c>
      <c r="D41" s="37"/>
      <c r="E41" s="37"/>
      <c r="G41" s="53"/>
      <c r="H41" s="53">
        <v>0</v>
      </c>
      <c r="I41" s="53">
        <f t="shared" si="19"/>
        <v>0</v>
      </c>
      <c r="J41" s="53">
        <f t="shared" si="20"/>
        <v>0</v>
      </c>
      <c r="K41" s="37"/>
      <c r="L41" s="53">
        <f t="shared" si="21"/>
        <v>0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51" t="s">
        <v>80</v>
      </c>
    </row>
    <row r="42" spans="1:17" ht="14" x14ac:dyDescent="0.3">
      <c r="A42" s="57">
        <f t="shared" si="0"/>
        <v>42</v>
      </c>
      <c r="B42" s="31"/>
      <c r="C42" s="28" t="str">
        <f>+'EMA R2'!C42</f>
        <v>Basic Service Cost True Up Factor</v>
      </c>
      <c r="D42" s="37"/>
      <c r="E42" s="37"/>
      <c r="G42" s="53"/>
      <c r="H42" s="53">
        <v>-4.6000000000000001E-4</v>
      </c>
      <c r="I42" s="53">
        <f t="shared" si="19"/>
        <v>-4.6000000000000001E-4</v>
      </c>
      <c r="J42" s="53">
        <f t="shared" si="20"/>
        <v>-4.6000000000000001E-4</v>
      </c>
      <c r="K42" s="37"/>
      <c r="L42" s="53">
        <f t="shared" si="21"/>
        <v>-4.6000000000000001E-4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51" t="s">
        <v>82</v>
      </c>
    </row>
    <row r="43" spans="1:17" ht="14" x14ac:dyDescent="0.3">
      <c r="A43" s="57">
        <f t="shared" si="0"/>
        <v>43</v>
      </c>
      <c r="B43" s="31"/>
      <c r="C43" s="28" t="str">
        <f>+'EMA R2'!C43</f>
        <v>Solar Program Cost Adjustment Factor</v>
      </c>
      <c r="D43" s="37"/>
      <c r="E43" s="37"/>
      <c r="G43" s="53"/>
      <c r="H43" s="53">
        <v>2.0000000000000002E-5</v>
      </c>
      <c r="I43" s="53">
        <f t="shared" si="19"/>
        <v>2.0000000000000002E-5</v>
      </c>
      <c r="J43" s="53">
        <f t="shared" si="20"/>
        <v>2.0000000000000002E-5</v>
      </c>
      <c r="K43" s="37"/>
      <c r="L43" s="53">
        <f t="shared" si="21"/>
        <v>2.0000000000000002E-5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51" t="s">
        <v>84</v>
      </c>
    </row>
    <row r="44" spans="1:17" ht="14" x14ac:dyDescent="0.3">
      <c r="A44" s="57">
        <f t="shared" si="0"/>
        <v>44</v>
      </c>
      <c r="B44" s="31"/>
      <c r="C44" s="28" t="str">
        <f>+'EMA R2'!C44</f>
        <v>Solar Expansion Cost Recovery Factor</v>
      </c>
      <c r="D44" s="37"/>
      <c r="E44" s="37"/>
      <c r="G44" s="53"/>
      <c r="H44" s="53">
        <v>-5.1000000000000004E-4</v>
      </c>
      <c r="I44" s="53">
        <f t="shared" si="19"/>
        <v>-5.1000000000000004E-4</v>
      </c>
      <c r="J44" s="53">
        <f t="shared" si="20"/>
        <v>-5.1000000000000004E-4</v>
      </c>
      <c r="K44" s="37"/>
      <c r="L44" s="53">
        <f t="shared" si="21"/>
        <v>-5.1000000000000004E-4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51" t="s">
        <v>86</v>
      </c>
    </row>
    <row r="45" spans="1:17" ht="14" x14ac:dyDescent="0.3">
      <c r="A45" s="57">
        <f t="shared" si="0"/>
        <v>45</v>
      </c>
      <c r="B45" s="31"/>
      <c r="C45" s="28" t="str">
        <f>+'EMA R2'!C45</f>
        <v>Vegetation Management</v>
      </c>
      <c r="D45" s="37"/>
      <c r="E45" s="37"/>
      <c r="G45" s="53"/>
      <c r="H45" s="53">
        <v>1.9300000000000001E-3</v>
      </c>
      <c r="I45" s="53">
        <f t="shared" si="19"/>
        <v>1.9300000000000001E-3</v>
      </c>
      <c r="J45" s="53">
        <f t="shared" si="20"/>
        <v>1.9300000000000001E-3</v>
      </c>
      <c r="K45" s="37"/>
      <c r="L45" s="53">
        <f t="shared" si="21"/>
        <v>1.9300000000000001E-3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51" t="s">
        <v>88</v>
      </c>
    </row>
    <row r="46" spans="1:17" ht="14" x14ac:dyDescent="0.3">
      <c r="A46" s="57">
        <f t="shared" si="0"/>
        <v>46</v>
      </c>
      <c r="B46" s="31"/>
      <c r="C46" s="28" t="str">
        <f>+'EMA R2'!C46</f>
        <v>Tax Act Credit Factor</v>
      </c>
      <c r="D46" s="37"/>
      <c r="E46" s="37"/>
      <c r="G46" s="53"/>
      <c r="H46" s="53">
        <v>-1.8E-3</v>
      </c>
      <c r="I46" s="53">
        <f t="shared" si="19"/>
        <v>-1.8E-3</v>
      </c>
      <c r="J46" s="53">
        <f t="shared" si="20"/>
        <v>-1.8E-3</v>
      </c>
      <c r="K46" s="37"/>
      <c r="L46" s="53">
        <f t="shared" si="21"/>
        <v>-1.8E-3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51" t="s">
        <v>90</v>
      </c>
    </row>
    <row r="47" spans="1:17" ht="14" x14ac:dyDescent="0.3">
      <c r="A47" s="57">
        <f t="shared" si="0"/>
        <v>47</v>
      </c>
      <c r="B47" s="31"/>
      <c r="C47" s="28" t="str">
        <f>+'EMA R2'!C47</f>
        <v>Grid Modernization</v>
      </c>
      <c r="D47" s="37"/>
      <c r="E47" s="37"/>
      <c r="G47" s="53"/>
      <c r="H47" s="53">
        <v>2.2100000000000002E-3</v>
      </c>
      <c r="I47" s="53">
        <f t="shared" si="19"/>
        <v>2.2100000000000002E-3</v>
      </c>
      <c r="J47" s="53">
        <f t="shared" si="20"/>
        <v>2.2100000000000002E-3</v>
      </c>
      <c r="K47" s="37"/>
      <c r="L47" s="53">
        <f t="shared" si="21"/>
        <v>2.2100000000000002E-3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51" t="s">
        <v>92</v>
      </c>
    </row>
    <row r="48" spans="1:17" ht="14" x14ac:dyDescent="0.3">
      <c r="A48" s="57">
        <f t="shared" si="0"/>
        <v>48</v>
      </c>
      <c r="B48" s="31"/>
      <c r="C48" s="28" t="str">
        <f>+'EMA R2'!C48</f>
        <v>Advanced Metering Infrastructure</v>
      </c>
      <c r="D48" s="37"/>
      <c r="E48" s="37"/>
      <c r="G48" s="53"/>
      <c r="H48" s="53">
        <v>2.9399999999999999E-3</v>
      </c>
      <c r="I48" s="53">
        <f t="shared" si="19"/>
        <v>2.9399999999999999E-3</v>
      </c>
      <c r="J48" s="53">
        <f t="shared" si="20"/>
        <v>2.9399999999999999E-3</v>
      </c>
      <c r="K48" s="37"/>
      <c r="L48" s="53">
        <f t="shared" si="21"/>
        <v>2.9399999999999999E-3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51" t="s">
        <v>94</v>
      </c>
    </row>
    <row r="49" spans="1:17" ht="14" x14ac:dyDescent="0.3">
      <c r="A49" s="57">
        <f t="shared" si="0"/>
        <v>49</v>
      </c>
      <c r="B49" s="31"/>
      <c r="C49" s="28" t="str">
        <f>+'EMA R2'!C49</f>
        <v>Electronic Payment Recovery</v>
      </c>
      <c r="D49" s="37"/>
      <c r="E49" s="37"/>
      <c r="G49" s="53"/>
      <c r="H49" s="53">
        <v>0</v>
      </c>
      <c r="I49" s="53">
        <f t="shared" si="19"/>
        <v>0</v>
      </c>
      <c r="J49" s="53">
        <f t="shared" si="20"/>
        <v>0</v>
      </c>
      <c r="K49" s="37"/>
      <c r="L49" s="53">
        <f t="shared" si="21"/>
        <v>0</v>
      </c>
      <c r="M49" s="54">
        <f t="shared" si="22"/>
        <v>0</v>
      </c>
      <c r="N49" s="54"/>
      <c r="O49" s="54">
        <f t="shared" si="23"/>
        <v>0</v>
      </c>
      <c r="P49" s="54">
        <f t="shared" si="24"/>
        <v>0</v>
      </c>
      <c r="Q49" s="51" t="s">
        <v>96</v>
      </c>
    </row>
    <row r="50" spans="1:17" ht="14" x14ac:dyDescent="0.3">
      <c r="A50" s="57">
        <f t="shared" si="0"/>
        <v>50</v>
      </c>
      <c r="B50" s="31"/>
      <c r="C50" s="28" t="str">
        <f>+'EMA R2'!C50</f>
        <v>Provisional System Planning Factor</v>
      </c>
      <c r="D50" s="37"/>
      <c r="E50" s="37"/>
      <c r="G50" s="53"/>
      <c r="H50" s="53">
        <v>0</v>
      </c>
      <c r="I50" s="53">
        <f t="shared" si="19"/>
        <v>0</v>
      </c>
      <c r="J50" s="53">
        <f t="shared" si="20"/>
        <v>0</v>
      </c>
      <c r="K50" s="37"/>
      <c r="L50" s="53">
        <f t="shared" si="21"/>
        <v>0</v>
      </c>
      <c r="M50" s="54">
        <f t="shared" si="22"/>
        <v>0</v>
      </c>
      <c r="N50" s="54"/>
      <c r="O50" s="54">
        <f t="shared" si="23"/>
        <v>0</v>
      </c>
      <c r="P50" s="54">
        <f t="shared" si="24"/>
        <v>0</v>
      </c>
      <c r="Q50" s="51" t="s">
        <v>98</v>
      </c>
    </row>
    <row r="51" spans="1:17" ht="14" x14ac:dyDescent="0.3">
      <c r="A51" s="57">
        <f t="shared" si="0"/>
        <v>51</v>
      </c>
      <c r="B51" s="31"/>
      <c r="C51" s="28" t="str">
        <f>+'EMA R2'!C51</f>
        <v>Electric Vehicle Factor</v>
      </c>
      <c r="D51" s="37"/>
      <c r="E51" s="37"/>
      <c r="G51" s="53"/>
      <c r="H51" s="53">
        <v>1.3799999999999999E-3</v>
      </c>
      <c r="I51" s="53">
        <f t="shared" si="19"/>
        <v>1.3799999999999999E-3</v>
      </c>
      <c r="J51" s="53">
        <f t="shared" si="20"/>
        <v>1.3799999999999999E-3</v>
      </c>
      <c r="K51" s="37"/>
      <c r="L51" s="53">
        <f t="shared" si="21"/>
        <v>1.3799999999999999E-3</v>
      </c>
      <c r="M51" s="54">
        <f t="shared" si="22"/>
        <v>0</v>
      </c>
      <c r="N51" s="54"/>
      <c r="O51" s="54">
        <f t="shared" si="23"/>
        <v>0</v>
      </c>
      <c r="P51" s="54">
        <f t="shared" si="24"/>
        <v>0</v>
      </c>
      <c r="Q51" s="51" t="s">
        <v>100</v>
      </c>
    </row>
    <row r="52" spans="1:17" ht="14" x14ac:dyDescent="0.3">
      <c r="A52" s="57">
        <f t="shared" si="0"/>
        <v>52</v>
      </c>
      <c r="B52" s="31"/>
      <c r="C52" s="28" t="str">
        <f>+'EMA R2'!C52</f>
        <v>Transition</v>
      </c>
      <c r="D52" s="37"/>
      <c r="E52" s="37"/>
      <c r="G52" s="53"/>
      <c r="H52" s="53">
        <v>-3.6999999999999999E-4</v>
      </c>
      <c r="I52" s="53">
        <f t="shared" si="19"/>
        <v>-3.6999999999999999E-4</v>
      </c>
      <c r="J52" s="53">
        <f t="shared" si="20"/>
        <v>-3.6999999999999999E-4</v>
      </c>
      <c r="K52" s="37"/>
      <c r="L52" s="53">
        <f t="shared" si="21"/>
        <v>-3.6999999999999999E-4</v>
      </c>
      <c r="M52" s="54">
        <f t="shared" si="22"/>
        <v>0</v>
      </c>
      <c r="N52" s="54"/>
      <c r="O52" s="54">
        <f t="shared" si="23"/>
        <v>0</v>
      </c>
      <c r="P52" s="54">
        <f t="shared" si="24"/>
        <v>0</v>
      </c>
      <c r="Q52" s="51" t="s">
        <v>102</v>
      </c>
    </row>
    <row r="53" spans="1:17" ht="14" x14ac:dyDescent="0.3">
      <c r="A53" s="57">
        <f t="shared" si="0"/>
        <v>53</v>
      </c>
      <c r="B53" s="31"/>
      <c r="C53" s="28" t="str">
        <f>+'EMA R2'!C53</f>
        <v>Transmission Energy</v>
      </c>
      <c r="D53" s="37"/>
      <c r="E53" s="37"/>
      <c r="G53" s="53"/>
      <c r="H53" s="53">
        <v>4.052E-2</v>
      </c>
      <c r="I53" s="53">
        <f t="shared" si="19"/>
        <v>4.052E-2</v>
      </c>
      <c r="J53" s="53">
        <f t="shared" si="20"/>
        <v>4.052E-2</v>
      </c>
      <c r="K53" s="37"/>
      <c r="L53" s="53">
        <f t="shared" si="21"/>
        <v>4.052E-2</v>
      </c>
      <c r="M53" s="54">
        <f t="shared" si="22"/>
        <v>0</v>
      </c>
      <c r="N53" s="54"/>
      <c r="O53" s="54">
        <f t="shared" si="23"/>
        <v>0</v>
      </c>
      <c r="P53" s="54">
        <f t="shared" si="24"/>
        <v>0</v>
      </c>
      <c r="Q53" s="51" t="s">
        <v>104</v>
      </c>
    </row>
    <row r="54" spans="1:17" ht="14" x14ac:dyDescent="0.3">
      <c r="A54" s="57">
        <f t="shared" si="0"/>
        <v>54</v>
      </c>
      <c r="B54" s="31"/>
      <c r="C54" s="28" t="str">
        <f>+'EMA R2'!C54</f>
        <v>Energy Efficiency Reconciliation Factor</v>
      </c>
      <c r="D54" s="37"/>
      <c r="E54" s="37"/>
      <c r="G54" s="53"/>
      <c r="H54" s="53">
        <v>2.861E-2</v>
      </c>
      <c r="I54" s="53">
        <v>3.7179999999999998E-2</v>
      </c>
      <c r="J54" s="53">
        <v>3.9489999999999997E-2</v>
      </c>
      <c r="K54" s="53"/>
      <c r="L54" s="53">
        <v>4.3970000000000002E-2</v>
      </c>
      <c r="M54" s="54">
        <f t="shared" si="22"/>
        <v>8.5699999999999978E-3</v>
      </c>
      <c r="N54" s="54"/>
      <c r="O54" s="54">
        <f t="shared" si="23"/>
        <v>2.3099999999999996E-3</v>
      </c>
      <c r="P54" s="54">
        <f t="shared" si="24"/>
        <v>4.4800000000000048E-3</v>
      </c>
      <c r="Q54" s="51" t="s">
        <v>106</v>
      </c>
    </row>
    <row r="55" spans="1:17" ht="14" x14ac:dyDescent="0.3">
      <c r="A55" s="57">
        <f t="shared" si="0"/>
        <v>55</v>
      </c>
      <c r="B55" s="31"/>
      <c r="C55" s="28" t="str">
        <f>+'EMA R2'!C55</f>
        <v>System Benefits Charge</v>
      </c>
      <c r="D55" s="37"/>
      <c r="E55" s="37"/>
      <c r="G55" s="53"/>
      <c r="H55" s="53">
        <v>2.5000000000000001E-3</v>
      </c>
      <c r="I55" s="53">
        <f t="shared" si="19"/>
        <v>2.5000000000000001E-3</v>
      </c>
      <c r="J55" s="53">
        <f t="shared" si="20"/>
        <v>2.5000000000000001E-3</v>
      </c>
      <c r="K55" s="37"/>
      <c r="L55" s="53">
        <f t="shared" si="21"/>
        <v>2.5000000000000001E-3</v>
      </c>
      <c r="M55" s="54">
        <f t="shared" si="22"/>
        <v>0</v>
      </c>
      <c r="N55" s="54"/>
      <c r="O55" s="54">
        <f t="shared" si="23"/>
        <v>0</v>
      </c>
      <c r="P55" s="54">
        <f t="shared" si="24"/>
        <v>0</v>
      </c>
      <c r="Q55" s="51" t="s">
        <v>108</v>
      </c>
    </row>
    <row r="56" spans="1:17" ht="14" x14ac:dyDescent="0.3">
      <c r="A56" s="57">
        <f t="shared" si="0"/>
        <v>56</v>
      </c>
      <c r="B56" s="31"/>
      <c r="C56" s="28" t="str">
        <f>+'EMA R2'!C56</f>
        <v>Renewable Energy Charge</v>
      </c>
      <c r="D56" s="37"/>
      <c r="E56" s="37"/>
      <c r="G56" s="53"/>
      <c r="H56" s="53">
        <v>5.0000000000000001E-4</v>
      </c>
      <c r="I56" s="53">
        <f t="shared" si="19"/>
        <v>5.0000000000000001E-4</v>
      </c>
      <c r="J56" s="53">
        <f t="shared" si="20"/>
        <v>5.0000000000000001E-4</v>
      </c>
      <c r="K56" s="37"/>
      <c r="L56" s="53">
        <f t="shared" si="21"/>
        <v>5.0000000000000001E-4</v>
      </c>
      <c r="M56" s="54">
        <f t="shared" si="22"/>
        <v>0</v>
      </c>
      <c r="N56" s="54"/>
      <c r="O56" s="54">
        <f t="shared" si="23"/>
        <v>0</v>
      </c>
      <c r="P56" s="54">
        <f t="shared" si="24"/>
        <v>0</v>
      </c>
      <c r="Q56" s="51" t="s">
        <v>110</v>
      </c>
    </row>
    <row r="57" spans="1:17" ht="14" x14ac:dyDescent="0.3">
      <c r="A57" s="57">
        <f t="shared" si="0"/>
        <v>57</v>
      </c>
      <c r="B57" s="31"/>
      <c r="C57" s="28" t="str">
        <f>+'EMA R2'!C57</f>
        <v>Basic Service Charge</v>
      </c>
      <c r="D57" s="37"/>
      <c r="E57" s="37"/>
      <c r="G57" s="53"/>
      <c r="H57" s="53">
        <v>0.15772</v>
      </c>
      <c r="I57" s="53">
        <f t="shared" si="19"/>
        <v>0.15772</v>
      </c>
      <c r="J57" s="53">
        <f t="shared" si="20"/>
        <v>0.15772</v>
      </c>
      <c r="K57" s="37"/>
      <c r="L57" s="53">
        <f t="shared" si="21"/>
        <v>0.15772</v>
      </c>
      <c r="M57" s="54">
        <f t="shared" si="22"/>
        <v>0</v>
      </c>
      <c r="N57" s="54"/>
      <c r="O57" s="54">
        <f t="shared" si="23"/>
        <v>0</v>
      </c>
      <c r="P57" s="54">
        <f t="shared" si="24"/>
        <v>0</v>
      </c>
      <c r="Q57" s="51" t="s">
        <v>112</v>
      </c>
    </row>
    <row r="58" spans="1:17" ht="14" x14ac:dyDescent="0.3">
      <c r="A58" s="57">
        <f t="shared" si="0"/>
        <v>58</v>
      </c>
      <c r="B58" s="31"/>
      <c r="C58" s="28" t="str">
        <f>+'EMA R2'!C58</f>
        <v>Low Income Discount</v>
      </c>
      <c r="D58" s="37"/>
      <c r="E58" s="37"/>
      <c r="G58" s="64"/>
      <c r="H58" s="65">
        <v>0.42</v>
      </c>
      <c r="I58" s="65">
        <f t="shared" si="19"/>
        <v>0.42</v>
      </c>
      <c r="J58" s="65">
        <f t="shared" si="20"/>
        <v>0.42</v>
      </c>
      <c r="K58" s="37"/>
      <c r="L58" s="65">
        <f t="shared" si="21"/>
        <v>0.42</v>
      </c>
      <c r="M58" s="64">
        <f t="shared" si="22"/>
        <v>0</v>
      </c>
      <c r="N58" s="64"/>
      <c r="O58" s="64">
        <f t="shared" si="23"/>
        <v>0</v>
      </c>
      <c r="P58" s="64">
        <f t="shared" si="24"/>
        <v>0</v>
      </c>
      <c r="Q58" s="51" t="s">
        <v>59</v>
      </c>
    </row>
    <row r="59" spans="1:17" ht="14" x14ac:dyDescent="0.3">
      <c r="A59" s="31"/>
      <c r="B59" s="31"/>
      <c r="C59" s="28"/>
      <c r="D59" s="37"/>
      <c r="E59" s="37"/>
      <c r="G59" s="55"/>
      <c r="H59" s="55"/>
      <c r="I59" s="55"/>
      <c r="J59" s="55"/>
      <c r="K59" s="37"/>
      <c r="L59" s="37"/>
    </row>
    <row r="60" spans="1:17" ht="14" x14ac:dyDescent="0.3">
      <c r="A60" s="31"/>
      <c r="B60" s="31"/>
      <c r="D60" s="37"/>
      <c r="E60" s="37"/>
      <c r="G60" s="55"/>
      <c r="H60" s="55"/>
      <c r="I60" s="55"/>
      <c r="J60" s="55"/>
      <c r="K60" s="37"/>
      <c r="L60" s="37"/>
    </row>
    <row r="61" spans="1:17" ht="14" x14ac:dyDescent="0.3">
      <c r="A61" s="31"/>
      <c r="B61" s="31"/>
      <c r="C61" s="28" t="s">
        <v>113</v>
      </c>
      <c r="D61" s="37"/>
      <c r="E61" s="37"/>
      <c r="G61" s="55"/>
      <c r="H61" s="55">
        <f>SUM(H31:H56)</f>
        <v>0.16949</v>
      </c>
      <c r="I61" s="55">
        <f>SUM(I31:I56)</f>
        <v>0.17806</v>
      </c>
      <c r="J61" s="55">
        <f>SUM(J31:J56)</f>
        <v>0.18037</v>
      </c>
      <c r="K61" s="37"/>
      <c r="L61" s="55">
        <f>SUM(L31:L56)</f>
        <v>0.18485000000000001</v>
      </c>
    </row>
    <row r="62" spans="1:17" ht="14" x14ac:dyDescent="0.3">
      <c r="C62" s="28" t="s">
        <v>114</v>
      </c>
      <c r="D62" s="37"/>
      <c r="E62" s="37"/>
      <c r="G62" s="55"/>
      <c r="H62" s="55">
        <f>H57</f>
        <v>0.15772</v>
      </c>
      <c r="I62" s="55">
        <f>I57</f>
        <v>0.15772</v>
      </c>
      <c r="J62" s="55">
        <f>J57</f>
        <v>0.15772</v>
      </c>
      <c r="L62" s="55">
        <f>L57</f>
        <v>0.15772</v>
      </c>
    </row>
  </sheetData>
  <mergeCells count="7">
    <mergeCell ref="Z10:AA10"/>
    <mergeCell ref="D10:F10"/>
    <mergeCell ref="H10:J10"/>
    <mergeCell ref="L10:M10"/>
    <mergeCell ref="O10:Q10"/>
    <mergeCell ref="S10:T10"/>
    <mergeCell ref="V10:X10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72034-FD11-4CFA-8DD6-B69FEFF107A1}">
  <sheetPr>
    <tabColor theme="3" tint="0.59999389629810485"/>
    <pageSetUpPr fitToPage="1"/>
  </sheetPr>
  <dimension ref="A1:AA62"/>
  <sheetViews>
    <sheetView zoomScaleNormal="100" workbookViewId="0"/>
  </sheetViews>
  <sheetFormatPr defaultColWidth="8.7265625" defaultRowHeight="13" x14ac:dyDescent="0.3"/>
  <cols>
    <col min="1" max="1" width="4" style="58" bestFit="1" customWidth="1"/>
    <col min="2" max="2" width="5.54296875" style="58" bestFit="1" customWidth="1"/>
    <col min="3" max="6" width="12" style="58" customWidth="1"/>
    <col min="7" max="7" width="2" style="58" customWidth="1"/>
    <col min="8" max="10" width="12" style="58" customWidth="1"/>
    <col min="11" max="11" width="2" style="58" customWidth="1"/>
    <col min="12" max="13" width="12" style="58" customWidth="1"/>
    <col min="14" max="14" width="2" style="58" customWidth="1"/>
    <col min="15" max="17" width="12" style="58" customWidth="1"/>
    <col min="18" max="18" width="2" style="58" customWidth="1"/>
    <col min="19" max="20" width="12" style="58" customWidth="1"/>
    <col min="21" max="21" width="2" style="58" customWidth="1"/>
    <col min="22" max="24" width="12" style="58" customWidth="1"/>
    <col min="25" max="25" width="2" style="58" customWidth="1"/>
    <col min="26" max="27" width="12" style="58" customWidth="1"/>
    <col min="28" max="16384" width="8.7265625" style="58"/>
  </cols>
  <sheetData>
    <row r="1" spans="1:27" x14ac:dyDescent="0.3">
      <c r="A1" s="57">
        <v>1</v>
      </c>
    </row>
    <row r="2" spans="1:27" x14ac:dyDescent="0.3">
      <c r="A2" s="57">
        <f>A1+1</f>
        <v>2</v>
      </c>
    </row>
    <row r="3" spans="1:27" ht="14" x14ac:dyDescent="0.3">
      <c r="A3" s="57">
        <f t="shared" ref="A3:A58" si="0">A2+1</f>
        <v>3</v>
      </c>
      <c r="B3" s="24" t="s">
        <v>115</v>
      </c>
    </row>
    <row r="4" spans="1:27" ht="14" x14ac:dyDescent="0.3">
      <c r="A4" s="57">
        <f t="shared" si="0"/>
        <v>4</v>
      </c>
      <c r="B4" s="24" t="s">
        <v>41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</row>
    <row r="5" spans="1:27" ht="14" x14ac:dyDescent="0.3">
      <c r="A5" s="57">
        <f t="shared" si="0"/>
        <v>5</v>
      </c>
      <c r="B5" s="2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</row>
    <row r="6" spans="1:27" ht="14" x14ac:dyDescent="0.3">
      <c r="A6" s="57">
        <f t="shared" si="0"/>
        <v>6</v>
      </c>
      <c r="B6" s="24" t="s">
        <v>120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</row>
    <row r="7" spans="1:27" ht="14" x14ac:dyDescent="0.3">
      <c r="A7" s="57">
        <f t="shared" si="0"/>
        <v>7</v>
      </c>
      <c r="B7" s="57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2"/>
    </row>
    <row r="8" spans="1:27" ht="14" x14ac:dyDescent="0.3">
      <c r="A8" s="57">
        <f t="shared" si="0"/>
        <v>8</v>
      </c>
      <c r="B8" s="27"/>
      <c r="C8" s="28"/>
      <c r="D8" s="28"/>
      <c r="E8" s="28"/>
      <c r="F8" s="29"/>
      <c r="G8" s="28"/>
    </row>
    <row r="9" spans="1:27" ht="14" x14ac:dyDescent="0.3">
      <c r="A9" s="57">
        <f t="shared" si="0"/>
        <v>9</v>
      </c>
      <c r="B9" s="27"/>
      <c r="C9" s="28"/>
      <c r="D9" s="28"/>
      <c r="E9" s="28"/>
      <c r="F9" s="30"/>
      <c r="G9" s="28"/>
    </row>
    <row r="10" spans="1:27" ht="14" x14ac:dyDescent="0.3">
      <c r="A10" s="57">
        <f t="shared" si="0"/>
        <v>10</v>
      </c>
      <c r="B10" s="31"/>
      <c r="C10" s="27" t="s">
        <v>2</v>
      </c>
      <c r="D10" s="32" t="str">
        <f>'EMA R1'!D10</f>
        <v>2024 Monthly Bill</v>
      </c>
      <c r="E10" s="32"/>
      <c r="F10" s="32"/>
      <c r="G10" s="33"/>
      <c r="H10" s="32" t="str">
        <f>'EMA R1'!H10</f>
        <v>2025 Illustrative Monthly Bill</v>
      </c>
      <c r="I10" s="32"/>
      <c r="J10" s="32"/>
      <c r="K10" s="23"/>
      <c r="L10" s="32" t="str">
        <f>'EMA R1'!L10</f>
        <v>2025 vs. 2024</v>
      </c>
      <c r="M10" s="32"/>
      <c r="N10" s="27"/>
      <c r="O10" s="32" t="str">
        <f>'EMA R1'!O10</f>
        <v>2026 Illustrative Monthly Bill</v>
      </c>
      <c r="P10" s="32"/>
      <c r="Q10" s="32"/>
      <c r="R10" s="33"/>
      <c r="S10" s="32" t="str">
        <f>'EMA R1'!S10</f>
        <v>2026 vs. 2025</v>
      </c>
      <c r="T10" s="32"/>
      <c r="U10" s="23"/>
      <c r="V10" s="32" t="str">
        <f>'EMA R1'!V10</f>
        <v>2027 Illustrative Monthly Bill</v>
      </c>
      <c r="W10" s="32"/>
      <c r="X10" s="32"/>
      <c r="Y10" s="33"/>
      <c r="Z10" s="32" t="str">
        <f>'EMA R1'!Z10</f>
        <v>2027 vs. 2026</v>
      </c>
      <c r="AA10" s="32"/>
    </row>
    <row r="11" spans="1:27" ht="14" x14ac:dyDescent="0.3">
      <c r="A11" s="57">
        <f t="shared" si="0"/>
        <v>11</v>
      </c>
      <c r="B11" s="31"/>
      <c r="C11" s="34" t="s">
        <v>47</v>
      </c>
      <c r="D11" s="34" t="s">
        <v>48</v>
      </c>
      <c r="E11" s="34" t="s">
        <v>49</v>
      </c>
      <c r="F11" s="34" t="s">
        <v>50</v>
      </c>
      <c r="G11" s="34"/>
      <c r="H11" s="34" t="s">
        <v>48</v>
      </c>
      <c r="I11" s="34" t="s">
        <v>49</v>
      </c>
      <c r="J11" s="34" t="s">
        <v>50</v>
      </c>
      <c r="K11" s="23"/>
      <c r="L11" s="34" t="s">
        <v>51</v>
      </c>
      <c r="M11" s="34" t="s">
        <v>14</v>
      </c>
      <c r="N11" s="34"/>
      <c r="O11" s="34" t="s">
        <v>48</v>
      </c>
      <c r="P11" s="34" t="s">
        <v>49</v>
      </c>
      <c r="Q11" s="34" t="s">
        <v>50</v>
      </c>
      <c r="R11" s="34"/>
      <c r="S11" s="34" t="s">
        <v>51</v>
      </c>
      <c r="T11" s="34" t="s">
        <v>14</v>
      </c>
      <c r="U11" s="23"/>
      <c r="V11" s="34" t="s">
        <v>48</v>
      </c>
      <c r="W11" s="34" t="s">
        <v>49</v>
      </c>
      <c r="X11" s="34" t="s">
        <v>50</v>
      </c>
      <c r="Y11" s="34"/>
      <c r="Z11" s="34" t="s">
        <v>51</v>
      </c>
      <c r="AA11" s="34" t="s">
        <v>14</v>
      </c>
    </row>
    <row r="12" spans="1:27" ht="14" x14ac:dyDescent="0.3">
      <c r="A12" s="57">
        <f t="shared" si="0"/>
        <v>12</v>
      </c>
      <c r="B12" s="31"/>
      <c r="C12" s="35">
        <v>100</v>
      </c>
      <c r="D12" s="36">
        <f>ROUND(($C12*SUM($H$31:$H$56)+$H$30)*(1-$H$58),2)</f>
        <v>15.63</v>
      </c>
      <c r="E12" s="36">
        <f>ROUND(($H$57*C12)*(1-$H$58),2)</f>
        <v>8.1300000000000008</v>
      </c>
      <c r="F12" s="36">
        <f>SUM(D12:E12)</f>
        <v>23.76</v>
      </c>
      <c r="G12" s="36"/>
      <c r="H12" s="36">
        <f>ROUND(($C12*SUM($I$31:$I$56)+$I$30)*(1-$I$58),2)</f>
        <v>16.13</v>
      </c>
      <c r="I12" s="36">
        <f>ROUND(($I$57*C12)*(1-$I$58),2)</f>
        <v>8.1300000000000008</v>
      </c>
      <c r="J12" s="36">
        <f>SUM(H12:I12)</f>
        <v>24.259999999999998</v>
      </c>
      <c r="K12" s="37"/>
      <c r="L12" s="36">
        <f>+J12-F12</f>
        <v>0.49999999999999645</v>
      </c>
      <c r="M12" s="38">
        <f>+L12/F12</f>
        <v>2.1043771043770892E-2</v>
      </c>
      <c r="N12" s="38"/>
      <c r="O12" s="36">
        <f>ROUND(($C12*SUM($J$31:$J$56)+$J$30)*(1-$J$58),2)</f>
        <v>16.260000000000002</v>
      </c>
      <c r="P12" s="36">
        <f>ROUND(($J$57*C12)*(1-$J$58),2)</f>
        <v>8.1300000000000008</v>
      </c>
      <c r="Q12" s="36">
        <f>SUM(O12:P12)</f>
        <v>24.39</v>
      </c>
      <c r="R12" s="36"/>
      <c r="S12" s="36">
        <f>+Q12-J12</f>
        <v>0.13000000000000256</v>
      </c>
      <c r="T12" s="38">
        <f>+S12/J12</f>
        <v>5.3586150041221173E-3</v>
      </c>
      <c r="U12" s="23"/>
      <c r="V12" s="36">
        <f>ROUND(($C12*SUM($L$31:$L$56)+$L$30)*(1-$L$58),2)</f>
        <v>16.52</v>
      </c>
      <c r="W12" s="36">
        <f>ROUND(($L$57*C12)*(1-$L$58),2)</f>
        <v>8.1300000000000008</v>
      </c>
      <c r="X12" s="36">
        <f>SUM(V12:W12)</f>
        <v>24.65</v>
      </c>
      <c r="Y12" s="36"/>
      <c r="Z12" s="36">
        <f>X12-Q12</f>
        <v>0.25999999999999801</v>
      </c>
      <c r="AA12" s="38">
        <f>+Z12/Q12</f>
        <v>1.0660106601065929E-2</v>
      </c>
    </row>
    <row r="13" spans="1:27" ht="14" x14ac:dyDescent="0.3">
      <c r="A13" s="57">
        <f t="shared" si="0"/>
        <v>13</v>
      </c>
      <c r="B13" s="31"/>
      <c r="C13" s="35">
        <v>200</v>
      </c>
      <c r="D13" s="36">
        <f t="shared" ref="D13:D25" si="1">ROUND(($C13*SUM($H$31:$H$56)+$H$30)*(1-$H$58),2)</f>
        <v>25.46</v>
      </c>
      <c r="E13" s="36">
        <f t="shared" ref="E13:E25" si="2">ROUND(($H$57*C13)*(1-$H$58),2)</f>
        <v>16.27</v>
      </c>
      <c r="F13" s="36">
        <f t="shared" ref="F13:F25" si="3">SUM(D13:E13)</f>
        <v>41.730000000000004</v>
      </c>
      <c r="G13" s="36"/>
      <c r="H13" s="36">
        <f t="shared" ref="H13:H25" si="4">ROUND(($C13*SUM($I$31:$I$56)+$I$30)*(1-$I$58),2)</f>
        <v>26.45</v>
      </c>
      <c r="I13" s="36">
        <f t="shared" ref="I13:I25" si="5">ROUND(($I$57*C13)*(1-$I$58),2)</f>
        <v>16.27</v>
      </c>
      <c r="J13" s="36">
        <f t="shared" ref="J13:J25" si="6">SUM(H13:I13)</f>
        <v>42.72</v>
      </c>
      <c r="K13" s="37"/>
      <c r="L13" s="36">
        <f>+J13-F13</f>
        <v>0.98999999999999488</v>
      </c>
      <c r="M13" s="38">
        <f t="shared" ref="M13:M25" si="7">+L13/F13</f>
        <v>2.3723939611789955E-2</v>
      </c>
      <c r="N13" s="38"/>
      <c r="O13" s="36">
        <f t="shared" ref="O13:O25" si="8">ROUND(($C13*SUM($J$31:$J$56)+$J$30)*(1-$J$58),2)</f>
        <v>26.72</v>
      </c>
      <c r="P13" s="36">
        <f t="shared" ref="P13:P25" si="9">ROUND(($J$57*C13)*(1-$J$58),2)</f>
        <v>16.27</v>
      </c>
      <c r="Q13" s="36">
        <f t="shared" ref="Q13:Q25" si="10">SUM(O13:P13)</f>
        <v>42.989999999999995</v>
      </c>
      <c r="R13" s="36"/>
      <c r="S13" s="36">
        <f t="shared" ref="S13:S25" si="11">+Q13-J13</f>
        <v>0.26999999999999602</v>
      </c>
      <c r="T13" s="38">
        <f>+S13/J13</f>
        <v>6.3202247191010306E-3</v>
      </c>
      <c r="U13" s="23"/>
      <c r="V13" s="36">
        <f t="shared" ref="V13:V25" si="12">ROUND(($C13*SUM($L$31:$L$56)+$L$30)*(1-$L$58),2)</f>
        <v>27.24</v>
      </c>
      <c r="W13" s="36">
        <f t="shared" ref="W13:W25" si="13">ROUND(($L$57*C13)*(1-$L$58),2)</f>
        <v>16.27</v>
      </c>
      <c r="X13" s="36">
        <f t="shared" ref="X13:X25" si="14">SUM(V13:W13)</f>
        <v>43.51</v>
      </c>
      <c r="Y13" s="36"/>
      <c r="Z13" s="36">
        <f t="shared" ref="Z13:Z25" si="15">X13-Q13</f>
        <v>0.52000000000000313</v>
      </c>
      <c r="AA13" s="38">
        <f t="shared" ref="AA13:AA25" si="16">+Z13/Q13</f>
        <v>1.2095836240986349E-2</v>
      </c>
    </row>
    <row r="14" spans="1:27" ht="14" x14ac:dyDescent="0.3">
      <c r="A14" s="57">
        <f t="shared" si="0"/>
        <v>14</v>
      </c>
      <c r="B14" s="31"/>
      <c r="C14" s="35">
        <v>300</v>
      </c>
      <c r="D14" s="36">
        <f>ROUND(($C14*SUM($H$31:$H$56)+$H$30)*(1-$H$58),2)</f>
        <v>35.29</v>
      </c>
      <c r="E14" s="36">
        <f t="shared" si="2"/>
        <v>24.4</v>
      </c>
      <c r="F14" s="36">
        <f t="shared" si="3"/>
        <v>59.69</v>
      </c>
      <c r="G14" s="36"/>
      <c r="H14" s="36">
        <f>ROUND(($C14*SUM($I$31:$I$56)+$I$30)*(1-$I$58),2)</f>
        <v>36.78</v>
      </c>
      <c r="I14" s="36">
        <f t="shared" si="5"/>
        <v>24.4</v>
      </c>
      <c r="J14" s="36">
        <f t="shared" si="6"/>
        <v>61.18</v>
      </c>
      <c r="K14" s="37"/>
      <c r="L14" s="36">
        <f t="shared" ref="L14:L25" si="17">+J14-F14</f>
        <v>1.490000000000002</v>
      </c>
      <c r="M14" s="38">
        <f t="shared" si="7"/>
        <v>2.4962305243759458E-2</v>
      </c>
      <c r="N14" s="38"/>
      <c r="O14" s="36">
        <f>ROUND(($C14*SUM($J$31:$J$56)+$J$30)*(1-$J$58),2)</f>
        <v>37.18</v>
      </c>
      <c r="P14" s="36">
        <f t="shared" si="9"/>
        <v>24.4</v>
      </c>
      <c r="Q14" s="36">
        <f t="shared" si="10"/>
        <v>61.58</v>
      </c>
      <c r="R14" s="36"/>
      <c r="S14" s="36">
        <f t="shared" si="11"/>
        <v>0.39999999999999858</v>
      </c>
      <c r="T14" s="38">
        <f t="shared" ref="T14:T25" si="18">+S14/J14</f>
        <v>6.5380843412879792E-3</v>
      </c>
      <c r="U14" s="23"/>
      <c r="V14" s="36">
        <f>ROUND(($C14*SUM($L$31:$L$56)+$L$30)*(1-$L$58),2)</f>
        <v>37.96</v>
      </c>
      <c r="W14" s="36">
        <f t="shared" si="13"/>
        <v>24.4</v>
      </c>
      <c r="X14" s="36">
        <f t="shared" si="14"/>
        <v>62.36</v>
      </c>
      <c r="Y14" s="36"/>
      <c r="Z14" s="36">
        <f t="shared" si="15"/>
        <v>0.78000000000000114</v>
      </c>
      <c r="AA14" s="38">
        <f t="shared" si="16"/>
        <v>1.2666450146151366E-2</v>
      </c>
    </row>
    <row r="15" spans="1:27" ht="14" x14ac:dyDescent="0.3">
      <c r="A15" s="57">
        <f t="shared" si="0"/>
        <v>15</v>
      </c>
      <c r="B15" s="31"/>
      <c r="C15" s="35">
        <v>400</v>
      </c>
      <c r="D15" s="36">
        <f t="shared" si="1"/>
        <v>45.12</v>
      </c>
      <c r="E15" s="36">
        <f t="shared" si="2"/>
        <v>32.53</v>
      </c>
      <c r="F15" s="36">
        <f t="shared" si="3"/>
        <v>77.650000000000006</v>
      </c>
      <c r="G15" s="36"/>
      <c r="H15" s="36">
        <f t="shared" si="4"/>
        <v>47.11</v>
      </c>
      <c r="I15" s="36">
        <f t="shared" si="5"/>
        <v>32.53</v>
      </c>
      <c r="J15" s="36">
        <f t="shared" si="6"/>
        <v>79.64</v>
      </c>
      <c r="K15" s="37"/>
      <c r="L15" s="36">
        <f t="shared" si="17"/>
        <v>1.9899999999999949</v>
      </c>
      <c r="M15" s="38">
        <f t="shared" si="7"/>
        <v>2.5627817128139017E-2</v>
      </c>
      <c r="N15" s="38"/>
      <c r="O15" s="36">
        <f t="shared" si="8"/>
        <v>47.65</v>
      </c>
      <c r="P15" s="36">
        <f t="shared" si="9"/>
        <v>32.53</v>
      </c>
      <c r="Q15" s="36">
        <f t="shared" si="10"/>
        <v>80.180000000000007</v>
      </c>
      <c r="R15" s="36"/>
      <c r="S15" s="36">
        <f t="shared" si="11"/>
        <v>0.54000000000000625</v>
      </c>
      <c r="T15" s="38">
        <f t="shared" si="18"/>
        <v>6.7805123053742622E-3</v>
      </c>
      <c r="U15" s="23"/>
      <c r="V15" s="36">
        <f t="shared" si="12"/>
        <v>48.69</v>
      </c>
      <c r="W15" s="36">
        <f t="shared" si="13"/>
        <v>32.53</v>
      </c>
      <c r="X15" s="36">
        <f t="shared" si="14"/>
        <v>81.22</v>
      </c>
      <c r="Y15" s="36"/>
      <c r="Z15" s="36">
        <f t="shared" si="15"/>
        <v>1.039999999999992</v>
      </c>
      <c r="AA15" s="38">
        <f t="shared" si="16"/>
        <v>1.2970815664754203E-2</v>
      </c>
    </row>
    <row r="16" spans="1:27" ht="14" x14ac:dyDescent="0.3">
      <c r="A16" s="57">
        <f t="shared" si="0"/>
        <v>16</v>
      </c>
      <c r="B16" s="31"/>
      <c r="C16" s="35">
        <v>500</v>
      </c>
      <c r="D16" s="36">
        <f t="shared" si="1"/>
        <v>54.95</v>
      </c>
      <c r="E16" s="36">
        <f t="shared" si="2"/>
        <v>40.67</v>
      </c>
      <c r="F16" s="36">
        <f t="shared" si="3"/>
        <v>95.62</v>
      </c>
      <c r="G16" s="36"/>
      <c r="H16" s="36">
        <f t="shared" si="4"/>
        <v>57.44</v>
      </c>
      <c r="I16" s="36">
        <f t="shared" si="5"/>
        <v>40.67</v>
      </c>
      <c r="J16" s="36">
        <f t="shared" si="6"/>
        <v>98.11</v>
      </c>
      <c r="K16" s="37"/>
      <c r="L16" s="36">
        <f t="shared" si="17"/>
        <v>2.4899999999999949</v>
      </c>
      <c r="M16" s="38">
        <f t="shared" si="7"/>
        <v>2.6040577285086748E-2</v>
      </c>
      <c r="N16" s="38"/>
      <c r="O16" s="36">
        <f t="shared" si="8"/>
        <v>58.11</v>
      </c>
      <c r="P16" s="36">
        <f t="shared" si="9"/>
        <v>40.67</v>
      </c>
      <c r="Q16" s="36">
        <f t="shared" si="10"/>
        <v>98.78</v>
      </c>
      <c r="R16" s="36"/>
      <c r="S16" s="36">
        <f t="shared" si="11"/>
        <v>0.67000000000000171</v>
      </c>
      <c r="T16" s="38">
        <f t="shared" si="18"/>
        <v>6.8290694118846368E-3</v>
      </c>
      <c r="U16" s="23"/>
      <c r="V16" s="36">
        <f t="shared" si="12"/>
        <v>59.41</v>
      </c>
      <c r="W16" s="36">
        <f t="shared" si="13"/>
        <v>40.67</v>
      </c>
      <c r="X16" s="36">
        <f t="shared" si="14"/>
        <v>100.08</v>
      </c>
      <c r="Y16" s="36"/>
      <c r="Z16" s="36">
        <f t="shared" si="15"/>
        <v>1.2999999999999972</v>
      </c>
      <c r="AA16" s="38">
        <f t="shared" si="16"/>
        <v>1.3160558817574379E-2</v>
      </c>
    </row>
    <row r="17" spans="1:27" ht="14" x14ac:dyDescent="0.3">
      <c r="A17" s="57">
        <f t="shared" si="0"/>
        <v>17</v>
      </c>
      <c r="B17" s="31"/>
      <c r="C17" s="35">
        <v>600</v>
      </c>
      <c r="D17" s="36">
        <f t="shared" si="1"/>
        <v>64.78</v>
      </c>
      <c r="E17" s="36">
        <f t="shared" si="2"/>
        <v>48.8</v>
      </c>
      <c r="F17" s="36">
        <f t="shared" si="3"/>
        <v>113.58</v>
      </c>
      <c r="G17" s="36"/>
      <c r="H17" s="36">
        <f t="shared" si="4"/>
        <v>67.760000000000005</v>
      </c>
      <c r="I17" s="36">
        <f t="shared" si="5"/>
        <v>48.8</v>
      </c>
      <c r="J17" s="36">
        <f t="shared" si="6"/>
        <v>116.56</v>
      </c>
      <c r="K17" s="37"/>
      <c r="L17" s="36">
        <f t="shared" si="17"/>
        <v>2.980000000000004</v>
      </c>
      <c r="M17" s="38">
        <f t="shared" si="7"/>
        <v>2.6237013558725163E-2</v>
      </c>
      <c r="N17" s="38"/>
      <c r="O17" s="36">
        <f t="shared" si="8"/>
        <v>68.569999999999993</v>
      </c>
      <c r="P17" s="36">
        <f t="shared" si="9"/>
        <v>48.8</v>
      </c>
      <c r="Q17" s="36">
        <f>SUM(O17:P17)</f>
        <v>117.36999999999999</v>
      </c>
      <c r="R17" s="36"/>
      <c r="S17" s="36">
        <f t="shared" si="11"/>
        <v>0.80999999999998806</v>
      </c>
      <c r="T17" s="38">
        <f t="shared" si="18"/>
        <v>6.9492107069319495E-3</v>
      </c>
      <c r="U17" s="23"/>
      <c r="V17" s="36">
        <f t="shared" si="12"/>
        <v>70.13</v>
      </c>
      <c r="W17" s="36">
        <f t="shared" si="13"/>
        <v>48.8</v>
      </c>
      <c r="X17" s="36">
        <f t="shared" si="14"/>
        <v>118.92999999999999</v>
      </c>
      <c r="Y17" s="36"/>
      <c r="Z17" s="36">
        <f t="shared" si="15"/>
        <v>1.5600000000000023</v>
      </c>
      <c r="AA17" s="38">
        <f t="shared" si="16"/>
        <v>1.3291301013887726E-2</v>
      </c>
    </row>
    <row r="18" spans="1:27" ht="14" x14ac:dyDescent="0.3">
      <c r="A18" s="57">
        <f t="shared" si="0"/>
        <v>18</v>
      </c>
      <c r="B18" s="31"/>
      <c r="C18" s="35">
        <v>700</v>
      </c>
      <c r="D18" s="36">
        <f t="shared" si="1"/>
        <v>74.61</v>
      </c>
      <c r="E18" s="36">
        <f>ROUND(($H$57*C18)*(1-$H$58),2)</f>
        <v>56.93</v>
      </c>
      <c r="F18" s="36">
        <f t="shared" si="3"/>
        <v>131.54</v>
      </c>
      <c r="G18" s="36"/>
      <c r="H18" s="36">
        <f t="shared" si="4"/>
        <v>78.09</v>
      </c>
      <c r="I18" s="36">
        <f t="shared" si="5"/>
        <v>56.93</v>
      </c>
      <c r="J18" s="36">
        <f t="shared" si="6"/>
        <v>135.02000000000001</v>
      </c>
      <c r="K18" s="37"/>
      <c r="L18" s="36">
        <f t="shared" si="17"/>
        <v>3.4800000000000182</v>
      </c>
      <c r="M18" s="38">
        <f t="shared" si="7"/>
        <v>2.6455830925954223E-2</v>
      </c>
      <c r="N18" s="38"/>
      <c r="O18" s="36">
        <f t="shared" si="8"/>
        <v>79.03</v>
      </c>
      <c r="P18" s="36">
        <f t="shared" si="9"/>
        <v>56.93</v>
      </c>
      <c r="Q18" s="36">
        <f t="shared" si="10"/>
        <v>135.96</v>
      </c>
      <c r="R18" s="36"/>
      <c r="S18" s="36">
        <f t="shared" si="11"/>
        <v>0.93999999999999773</v>
      </c>
      <c r="T18" s="38">
        <f t="shared" si="18"/>
        <v>6.9619315656939537E-3</v>
      </c>
      <c r="U18" s="23"/>
      <c r="V18" s="36">
        <f t="shared" si="12"/>
        <v>80.849999999999994</v>
      </c>
      <c r="W18" s="36">
        <f>ROUND(($L$57*C18)*(1-$L$58),2)</f>
        <v>56.93</v>
      </c>
      <c r="X18" s="36">
        <f t="shared" si="14"/>
        <v>137.78</v>
      </c>
      <c r="Y18" s="36"/>
      <c r="Z18" s="36">
        <f t="shared" si="15"/>
        <v>1.8199999999999932</v>
      </c>
      <c r="AA18" s="38">
        <f t="shared" si="16"/>
        <v>1.338629008531916E-2</v>
      </c>
    </row>
    <row r="19" spans="1:27" ht="14" x14ac:dyDescent="0.3">
      <c r="A19" s="57">
        <f t="shared" si="0"/>
        <v>19</v>
      </c>
      <c r="B19" s="31"/>
      <c r="C19" s="35">
        <v>800</v>
      </c>
      <c r="D19" s="36">
        <f t="shared" si="1"/>
        <v>84.44</v>
      </c>
      <c r="E19" s="36">
        <f t="shared" si="2"/>
        <v>65.069999999999993</v>
      </c>
      <c r="F19" s="36">
        <f t="shared" si="3"/>
        <v>149.51</v>
      </c>
      <c r="G19" s="36"/>
      <c r="H19" s="36">
        <f t="shared" si="4"/>
        <v>88.42</v>
      </c>
      <c r="I19" s="36">
        <f t="shared" si="5"/>
        <v>65.069999999999993</v>
      </c>
      <c r="J19" s="36">
        <f t="shared" si="6"/>
        <v>153.49</v>
      </c>
      <c r="K19" s="37"/>
      <c r="L19" s="36">
        <f t="shared" si="17"/>
        <v>3.9800000000000182</v>
      </c>
      <c r="M19" s="38">
        <f t="shared" si="7"/>
        <v>2.6620292956992968E-2</v>
      </c>
      <c r="N19" s="38"/>
      <c r="O19" s="36">
        <f t="shared" si="8"/>
        <v>89.49</v>
      </c>
      <c r="P19" s="36">
        <f>ROUND(($J$57*C19)*(1-$J$58),2)</f>
        <v>65.069999999999993</v>
      </c>
      <c r="Q19" s="36">
        <f t="shared" si="10"/>
        <v>154.56</v>
      </c>
      <c r="R19" s="36"/>
      <c r="S19" s="36">
        <f>+Q19-J19</f>
        <v>1.0699999999999932</v>
      </c>
      <c r="T19" s="38">
        <f t="shared" si="18"/>
        <v>6.9711381848979945E-3</v>
      </c>
      <c r="U19" s="23"/>
      <c r="V19" s="36">
        <f t="shared" si="12"/>
        <v>91.57</v>
      </c>
      <c r="W19" s="36">
        <f t="shared" si="13"/>
        <v>65.069999999999993</v>
      </c>
      <c r="X19" s="36">
        <f t="shared" si="14"/>
        <v>156.63999999999999</v>
      </c>
      <c r="Y19" s="36"/>
      <c r="Z19" s="36">
        <f t="shared" si="15"/>
        <v>2.0799999999999841</v>
      </c>
      <c r="AA19" s="38">
        <f t="shared" si="16"/>
        <v>1.3457556935817702E-2</v>
      </c>
    </row>
    <row r="20" spans="1:27" ht="14" x14ac:dyDescent="0.3">
      <c r="A20" s="57">
        <f t="shared" si="0"/>
        <v>20</v>
      </c>
      <c r="B20" s="31"/>
      <c r="C20" s="35">
        <v>900</v>
      </c>
      <c r="D20" s="36">
        <f t="shared" si="1"/>
        <v>94.27</v>
      </c>
      <c r="E20" s="36">
        <f t="shared" si="2"/>
        <v>73.2</v>
      </c>
      <c r="F20" s="36">
        <f t="shared" si="3"/>
        <v>167.47</v>
      </c>
      <c r="G20" s="36"/>
      <c r="H20" s="36">
        <f t="shared" si="4"/>
        <v>98.75</v>
      </c>
      <c r="I20" s="36">
        <f t="shared" si="5"/>
        <v>73.2</v>
      </c>
      <c r="J20" s="36">
        <f t="shared" si="6"/>
        <v>171.95</v>
      </c>
      <c r="K20" s="37"/>
      <c r="L20" s="36">
        <f t="shared" si="17"/>
        <v>4.4799999999999898</v>
      </c>
      <c r="M20" s="38">
        <f t="shared" si="7"/>
        <v>2.6751059891323758E-2</v>
      </c>
      <c r="N20" s="38"/>
      <c r="O20" s="36">
        <f t="shared" si="8"/>
        <v>99.95</v>
      </c>
      <c r="P20" s="36">
        <f t="shared" si="9"/>
        <v>73.2</v>
      </c>
      <c r="Q20" s="36">
        <f t="shared" si="10"/>
        <v>173.15</v>
      </c>
      <c r="R20" s="36"/>
      <c r="S20" s="36">
        <f t="shared" si="11"/>
        <v>1.2000000000000171</v>
      </c>
      <c r="T20" s="38">
        <f t="shared" si="18"/>
        <v>6.9787728990986751E-3</v>
      </c>
      <c r="U20" s="23"/>
      <c r="V20" s="36">
        <f t="shared" si="12"/>
        <v>102.29</v>
      </c>
      <c r="W20" s="36">
        <f t="shared" si="13"/>
        <v>73.2</v>
      </c>
      <c r="X20" s="36">
        <f t="shared" si="14"/>
        <v>175.49</v>
      </c>
      <c r="Y20" s="36"/>
      <c r="Z20" s="36">
        <f t="shared" si="15"/>
        <v>2.3400000000000034</v>
      </c>
      <c r="AA20" s="38">
        <f t="shared" si="16"/>
        <v>1.3514293964770449E-2</v>
      </c>
    </row>
    <row r="21" spans="1:27" ht="14" x14ac:dyDescent="0.3">
      <c r="A21" s="57">
        <f t="shared" si="0"/>
        <v>21</v>
      </c>
      <c r="B21" s="31"/>
      <c r="C21" s="35">
        <v>1000</v>
      </c>
      <c r="D21" s="36">
        <f t="shared" si="1"/>
        <v>104.1</v>
      </c>
      <c r="E21" s="36">
        <f t="shared" si="2"/>
        <v>81.33</v>
      </c>
      <c r="F21" s="36">
        <f t="shared" si="3"/>
        <v>185.43</v>
      </c>
      <c r="G21" s="36"/>
      <c r="H21" s="36">
        <f t="shared" si="4"/>
        <v>109.07</v>
      </c>
      <c r="I21" s="36">
        <f>ROUND(($I$57*C21)*(1-$I$58),2)</f>
        <v>81.33</v>
      </c>
      <c r="J21" s="36">
        <f t="shared" si="6"/>
        <v>190.39999999999998</v>
      </c>
      <c r="K21" s="37"/>
      <c r="L21" s="36">
        <f t="shared" si="17"/>
        <v>4.9699999999999704</v>
      </c>
      <c r="M21" s="38">
        <f t="shared" si="7"/>
        <v>2.6802567006417356E-2</v>
      </c>
      <c r="N21" s="38"/>
      <c r="O21" s="36">
        <f t="shared" si="8"/>
        <v>110.41</v>
      </c>
      <c r="P21" s="36">
        <f t="shared" si="9"/>
        <v>81.33</v>
      </c>
      <c r="Q21" s="36">
        <f t="shared" si="10"/>
        <v>191.74</v>
      </c>
      <c r="R21" s="36"/>
      <c r="S21" s="36">
        <f t="shared" si="11"/>
        <v>1.3400000000000318</v>
      </c>
      <c r="T21" s="38">
        <f t="shared" si="18"/>
        <v>7.0378151260505886E-3</v>
      </c>
      <c r="U21" s="23"/>
      <c r="V21" s="36">
        <f t="shared" si="12"/>
        <v>113.01</v>
      </c>
      <c r="W21" s="36">
        <f t="shared" si="13"/>
        <v>81.33</v>
      </c>
      <c r="X21" s="36">
        <f t="shared" si="14"/>
        <v>194.34</v>
      </c>
      <c r="Y21" s="36"/>
      <c r="Z21" s="36">
        <f t="shared" si="15"/>
        <v>2.5999999999999943</v>
      </c>
      <c r="AA21" s="38">
        <f t="shared" si="16"/>
        <v>1.3560029206216722E-2</v>
      </c>
    </row>
    <row r="22" spans="1:27" ht="14" x14ac:dyDescent="0.3">
      <c r="A22" s="57">
        <f t="shared" si="0"/>
        <v>22</v>
      </c>
      <c r="B22" s="31"/>
      <c r="C22" s="35">
        <v>1250</v>
      </c>
      <c r="D22" s="36">
        <f t="shared" si="1"/>
        <v>128.68</v>
      </c>
      <c r="E22" s="36">
        <f t="shared" si="2"/>
        <v>101.67</v>
      </c>
      <c r="F22" s="36">
        <f t="shared" si="3"/>
        <v>230.35000000000002</v>
      </c>
      <c r="G22" s="36"/>
      <c r="H22" s="36">
        <f t="shared" si="4"/>
        <v>134.88999999999999</v>
      </c>
      <c r="I22" s="36">
        <f t="shared" si="5"/>
        <v>101.67</v>
      </c>
      <c r="J22" s="36">
        <f t="shared" si="6"/>
        <v>236.56</v>
      </c>
      <c r="K22" s="37"/>
      <c r="L22" s="36">
        <f t="shared" si="17"/>
        <v>6.2099999999999795</v>
      </c>
      <c r="M22" s="38">
        <f t="shared" si="7"/>
        <v>2.6958975472107571E-2</v>
      </c>
      <c r="N22" s="38"/>
      <c r="O22" s="36">
        <f t="shared" si="8"/>
        <v>136.57</v>
      </c>
      <c r="P22" s="36">
        <f t="shared" si="9"/>
        <v>101.67</v>
      </c>
      <c r="Q22" s="36">
        <f t="shared" si="10"/>
        <v>238.24</v>
      </c>
      <c r="R22" s="36"/>
      <c r="S22" s="36">
        <f t="shared" si="11"/>
        <v>1.6800000000000068</v>
      </c>
      <c r="T22" s="38">
        <f t="shared" si="18"/>
        <v>7.1017923571187304E-3</v>
      </c>
      <c r="U22" s="23"/>
      <c r="V22" s="36">
        <f t="shared" si="12"/>
        <v>139.82</v>
      </c>
      <c r="W22" s="36">
        <f t="shared" si="13"/>
        <v>101.67</v>
      </c>
      <c r="X22" s="36">
        <f t="shared" si="14"/>
        <v>241.49</v>
      </c>
      <c r="Y22" s="36"/>
      <c r="Z22" s="36">
        <f t="shared" si="15"/>
        <v>3.25</v>
      </c>
      <c r="AA22" s="38">
        <f t="shared" si="16"/>
        <v>1.3641705842847547E-2</v>
      </c>
    </row>
    <row r="23" spans="1:27" ht="14" x14ac:dyDescent="0.3">
      <c r="A23" s="57">
        <f t="shared" si="0"/>
        <v>23</v>
      </c>
      <c r="B23" s="31"/>
      <c r="C23" s="35">
        <v>1500</v>
      </c>
      <c r="D23" s="36">
        <f t="shared" si="1"/>
        <v>153.26</v>
      </c>
      <c r="E23" s="36">
        <f t="shared" si="2"/>
        <v>122</v>
      </c>
      <c r="F23" s="36">
        <f t="shared" si="3"/>
        <v>275.26</v>
      </c>
      <c r="G23" s="36"/>
      <c r="H23" s="36">
        <f t="shared" si="4"/>
        <v>160.71</v>
      </c>
      <c r="I23" s="36">
        <f t="shared" si="5"/>
        <v>122</v>
      </c>
      <c r="J23" s="36">
        <f t="shared" si="6"/>
        <v>282.71000000000004</v>
      </c>
      <c r="K23" s="37"/>
      <c r="L23" s="36">
        <f t="shared" si="17"/>
        <v>7.4500000000000455</v>
      </c>
      <c r="M23" s="38">
        <f t="shared" si="7"/>
        <v>2.706532006103337E-2</v>
      </c>
      <c r="N23" s="38"/>
      <c r="O23" s="36">
        <f t="shared" si="8"/>
        <v>162.72</v>
      </c>
      <c r="P23" s="36">
        <f t="shared" si="9"/>
        <v>122</v>
      </c>
      <c r="Q23" s="36">
        <f t="shared" si="10"/>
        <v>284.72000000000003</v>
      </c>
      <c r="R23" s="36"/>
      <c r="S23" s="36">
        <f t="shared" si="11"/>
        <v>2.0099999999999909</v>
      </c>
      <c r="T23" s="38">
        <f t="shared" si="18"/>
        <v>7.109759117116447E-3</v>
      </c>
      <c r="U23" s="23"/>
      <c r="V23" s="36">
        <f t="shared" si="12"/>
        <v>166.62</v>
      </c>
      <c r="W23" s="36">
        <f t="shared" si="13"/>
        <v>122</v>
      </c>
      <c r="X23" s="36">
        <f t="shared" si="14"/>
        <v>288.62</v>
      </c>
      <c r="Y23" s="36"/>
      <c r="Z23" s="36">
        <f t="shared" si="15"/>
        <v>3.8999999999999773</v>
      </c>
      <c r="AA23" s="38">
        <f t="shared" si="16"/>
        <v>1.3697667884237064E-2</v>
      </c>
    </row>
    <row r="24" spans="1:27" ht="14" x14ac:dyDescent="0.3">
      <c r="A24" s="57">
        <f t="shared" si="0"/>
        <v>24</v>
      </c>
      <c r="B24" s="31"/>
      <c r="C24" s="35">
        <v>2000</v>
      </c>
      <c r="D24" s="36">
        <f t="shared" si="1"/>
        <v>202.41</v>
      </c>
      <c r="E24" s="36">
        <f t="shared" si="2"/>
        <v>162.66999999999999</v>
      </c>
      <c r="F24" s="36">
        <f t="shared" si="3"/>
        <v>365.08</v>
      </c>
      <c r="G24" s="36"/>
      <c r="H24" s="36">
        <f t="shared" si="4"/>
        <v>212.35</v>
      </c>
      <c r="I24" s="36">
        <f t="shared" si="5"/>
        <v>162.66999999999999</v>
      </c>
      <c r="J24" s="36">
        <f t="shared" si="6"/>
        <v>375.02</v>
      </c>
      <c r="K24" s="37"/>
      <c r="L24" s="36">
        <f t="shared" si="17"/>
        <v>9.9399999999999977</v>
      </c>
      <c r="M24" s="38">
        <f t="shared" si="7"/>
        <v>2.7226909170592742E-2</v>
      </c>
      <c r="N24" s="38"/>
      <c r="O24" s="36">
        <f t="shared" si="8"/>
        <v>215.03</v>
      </c>
      <c r="P24" s="36">
        <f t="shared" si="9"/>
        <v>162.66999999999999</v>
      </c>
      <c r="Q24" s="36">
        <f t="shared" si="10"/>
        <v>377.7</v>
      </c>
      <c r="R24" s="36"/>
      <c r="S24" s="36">
        <f t="shared" si="11"/>
        <v>2.6800000000000068</v>
      </c>
      <c r="T24" s="38">
        <f t="shared" si="18"/>
        <v>7.1462855314383417E-3</v>
      </c>
      <c r="U24" s="23"/>
      <c r="V24" s="36">
        <f t="shared" si="12"/>
        <v>220.23</v>
      </c>
      <c r="W24" s="36">
        <f t="shared" si="13"/>
        <v>162.66999999999999</v>
      </c>
      <c r="X24" s="36">
        <f t="shared" si="14"/>
        <v>382.9</v>
      </c>
      <c r="Y24" s="36"/>
      <c r="Z24" s="36">
        <f t="shared" si="15"/>
        <v>5.1999999999999886</v>
      </c>
      <c r="AA24" s="38">
        <f t="shared" si="16"/>
        <v>1.3767540375959727E-2</v>
      </c>
    </row>
    <row r="25" spans="1:27" ht="14" x14ac:dyDescent="0.3">
      <c r="A25" s="57">
        <f t="shared" si="0"/>
        <v>25</v>
      </c>
      <c r="B25" s="31" t="s">
        <v>52</v>
      </c>
      <c r="C25" s="35">
        <v>990</v>
      </c>
      <c r="D25" s="36">
        <f t="shared" si="1"/>
        <v>103.12</v>
      </c>
      <c r="E25" s="36">
        <f t="shared" si="2"/>
        <v>80.52</v>
      </c>
      <c r="F25" s="36">
        <f t="shared" si="3"/>
        <v>183.64</v>
      </c>
      <c r="G25" s="36"/>
      <c r="H25" s="36">
        <f t="shared" si="4"/>
        <v>108.04</v>
      </c>
      <c r="I25" s="36">
        <f t="shared" si="5"/>
        <v>80.52</v>
      </c>
      <c r="J25" s="36">
        <f t="shared" si="6"/>
        <v>188.56</v>
      </c>
      <c r="K25" s="37"/>
      <c r="L25" s="36">
        <f t="shared" si="17"/>
        <v>4.9200000000000159</v>
      </c>
      <c r="M25" s="38">
        <f t="shared" si="7"/>
        <v>2.6791548682204402E-2</v>
      </c>
      <c r="N25" s="38"/>
      <c r="O25" s="36">
        <f t="shared" si="8"/>
        <v>109.37</v>
      </c>
      <c r="P25" s="36">
        <f t="shared" si="9"/>
        <v>80.52</v>
      </c>
      <c r="Q25" s="36">
        <f t="shared" si="10"/>
        <v>189.89</v>
      </c>
      <c r="R25" s="36"/>
      <c r="S25" s="36">
        <f t="shared" si="11"/>
        <v>1.3299999999999841</v>
      </c>
      <c r="T25" s="38">
        <f t="shared" si="18"/>
        <v>7.0534577853202376E-3</v>
      </c>
      <c r="U25" s="23"/>
      <c r="V25" s="36">
        <f t="shared" si="12"/>
        <v>111.94</v>
      </c>
      <c r="W25" s="36">
        <f t="shared" si="13"/>
        <v>80.52</v>
      </c>
      <c r="X25" s="36">
        <f t="shared" si="14"/>
        <v>192.45999999999998</v>
      </c>
      <c r="Y25" s="36"/>
      <c r="Z25" s="36">
        <f t="shared" si="15"/>
        <v>2.5699999999999932</v>
      </c>
      <c r="AA25" s="38">
        <f t="shared" si="16"/>
        <v>1.3534151350781997E-2</v>
      </c>
    </row>
    <row r="26" spans="1:27" ht="14" x14ac:dyDescent="0.3">
      <c r="A26" s="57">
        <f t="shared" si="0"/>
        <v>26</v>
      </c>
      <c r="B26" s="31"/>
      <c r="C26" s="41"/>
      <c r="D26" s="63"/>
      <c r="E26" s="42"/>
      <c r="F26" s="42"/>
      <c r="G26" s="43"/>
      <c r="H26" s="42"/>
      <c r="I26" s="42"/>
      <c r="J26" s="42"/>
      <c r="K26" s="43"/>
      <c r="L26" s="43"/>
      <c r="X26" s="40"/>
    </row>
    <row r="27" spans="1:27" ht="14" x14ac:dyDescent="0.3">
      <c r="A27" s="57">
        <f t="shared" si="0"/>
        <v>27</v>
      </c>
      <c r="B27" s="31"/>
      <c r="C27" s="41"/>
      <c r="D27" s="42"/>
      <c r="E27" s="42"/>
      <c r="F27" s="42"/>
      <c r="G27" s="43"/>
      <c r="H27" s="42"/>
      <c r="I27" s="42"/>
      <c r="J27" s="42"/>
      <c r="K27" s="43"/>
      <c r="L27" s="43"/>
      <c r="X27" s="40"/>
    </row>
    <row r="28" spans="1:27" ht="14" x14ac:dyDescent="0.3">
      <c r="A28" s="57">
        <f t="shared" si="0"/>
        <v>28</v>
      </c>
      <c r="B28" s="31"/>
      <c r="C28" s="44" t="s">
        <v>53</v>
      </c>
      <c r="D28" s="37"/>
      <c r="E28" s="37"/>
      <c r="G28" s="60"/>
      <c r="H28" s="45">
        <f>+'EMA R1'!H28</f>
        <v>2024</v>
      </c>
      <c r="I28" s="45">
        <f>+'EMA R1'!I28</f>
        <v>2025</v>
      </c>
      <c r="J28" s="45">
        <f>+'EMA R1'!J28</f>
        <v>2026</v>
      </c>
      <c r="K28" s="45"/>
      <c r="L28" s="45">
        <f>+'EMA R1'!L28</f>
        <v>2027</v>
      </c>
      <c r="M28" s="45" t="str">
        <f>+'EMA R1'!M28</f>
        <v>2025 v 2024</v>
      </c>
      <c r="N28" s="45"/>
      <c r="O28" s="45" t="str">
        <f>+'EMA R1'!O28</f>
        <v>2026 v 2025</v>
      </c>
      <c r="P28" s="45" t="str">
        <f>+'EMA R1'!P28</f>
        <v>2027 v 2026</v>
      </c>
    </row>
    <row r="29" spans="1:27" ht="14" x14ac:dyDescent="0.3">
      <c r="A29" s="57">
        <f t="shared" si="0"/>
        <v>29</v>
      </c>
      <c r="B29" s="31"/>
      <c r="C29" s="44" t="s">
        <v>53</v>
      </c>
      <c r="D29" s="37"/>
      <c r="E29" s="37"/>
      <c r="G29" s="60"/>
      <c r="H29" s="47" t="str">
        <f>+'EMA R1'!H29</f>
        <v>Rates</v>
      </c>
      <c r="I29" s="47" t="s">
        <v>57</v>
      </c>
      <c r="J29" s="47" t="s">
        <v>57</v>
      </c>
      <c r="K29" s="37"/>
      <c r="L29" s="47" t="s">
        <v>57</v>
      </c>
      <c r="M29" s="48" t="s">
        <v>51</v>
      </c>
      <c r="N29" s="57"/>
      <c r="O29" s="48" t="s">
        <v>51</v>
      </c>
      <c r="P29" s="48" t="s">
        <v>51</v>
      </c>
    </row>
    <row r="30" spans="1:27" ht="14" x14ac:dyDescent="0.3">
      <c r="A30" s="57">
        <f t="shared" si="0"/>
        <v>30</v>
      </c>
      <c r="B30" s="31"/>
      <c r="C30" s="28" t="str">
        <f>+'EMA R4'!C30</f>
        <v>Customer Charge</v>
      </c>
      <c r="D30" s="37"/>
      <c r="E30" s="37"/>
      <c r="G30" s="37"/>
      <c r="H30" s="49">
        <v>10</v>
      </c>
      <c r="I30" s="49">
        <f t="shared" ref="I30:I58" si="19">+H30</f>
        <v>10</v>
      </c>
      <c r="J30" s="49">
        <f t="shared" ref="J30:J58" si="20">H30</f>
        <v>10</v>
      </c>
      <c r="K30" s="37"/>
      <c r="L30" s="49">
        <f t="shared" ref="L30:L58" si="21">H30</f>
        <v>10</v>
      </c>
      <c r="M30" s="50">
        <f t="shared" ref="M30:M58" si="22">+I30-H30</f>
        <v>0</v>
      </c>
      <c r="N30" s="50"/>
      <c r="O30" s="50">
        <f t="shared" ref="O30:O58" si="23">+J30-I30</f>
        <v>0</v>
      </c>
      <c r="P30" s="50">
        <f t="shared" ref="P30:P58" si="24">+L30-J30</f>
        <v>0</v>
      </c>
      <c r="Q30" s="51" t="s">
        <v>59</v>
      </c>
    </row>
    <row r="31" spans="1:27" ht="14" x14ac:dyDescent="0.3">
      <c r="A31" s="57">
        <f t="shared" si="0"/>
        <v>31</v>
      </c>
      <c r="B31" s="31"/>
      <c r="C31" s="28" t="str">
        <f>+'EMA R4'!C31</f>
        <v>Distribution Energy</v>
      </c>
      <c r="D31" s="37"/>
      <c r="E31" s="37"/>
      <c r="G31" s="55"/>
      <c r="H31" s="53">
        <v>5.296E-2</v>
      </c>
      <c r="I31" s="53">
        <f t="shared" si="19"/>
        <v>5.296E-2</v>
      </c>
      <c r="J31" s="53">
        <f t="shared" si="20"/>
        <v>5.296E-2</v>
      </c>
      <c r="K31" s="37"/>
      <c r="L31" s="53">
        <f t="shared" si="21"/>
        <v>5.296E-2</v>
      </c>
      <c r="M31" s="54">
        <f t="shared" si="22"/>
        <v>0</v>
      </c>
      <c r="N31" s="54"/>
      <c r="O31" s="54">
        <f t="shared" si="23"/>
        <v>0</v>
      </c>
      <c r="P31" s="54">
        <f t="shared" si="24"/>
        <v>0</v>
      </c>
      <c r="Q31" s="51" t="s">
        <v>59</v>
      </c>
    </row>
    <row r="32" spans="1:27" ht="14" x14ac:dyDescent="0.3">
      <c r="A32" s="57">
        <f t="shared" si="0"/>
        <v>32</v>
      </c>
      <c r="B32" s="31"/>
      <c r="C32" s="52" t="s">
        <v>61</v>
      </c>
      <c r="D32" s="37"/>
      <c r="E32" s="37"/>
      <c r="G32" s="55"/>
      <c r="H32" s="53">
        <v>1.01E-3</v>
      </c>
      <c r="I32" s="53">
        <f t="shared" si="19"/>
        <v>1.01E-3</v>
      </c>
      <c r="J32" s="53">
        <f t="shared" si="20"/>
        <v>1.01E-3</v>
      </c>
      <c r="K32" s="37"/>
      <c r="L32" s="53">
        <f t="shared" si="21"/>
        <v>1.01E-3</v>
      </c>
      <c r="M32" s="54">
        <f t="shared" si="22"/>
        <v>0</v>
      </c>
      <c r="N32" s="54"/>
      <c r="O32" s="54">
        <f t="shared" si="23"/>
        <v>0</v>
      </c>
      <c r="P32" s="54">
        <f t="shared" si="24"/>
        <v>0</v>
      </c>
      <c r="Q32" s="51" t="s">
        <v>62</v>
      </c>
    </row>
    <row r="33" spans="1:17" ht="14" x14ac:dyDescent="0.3">
      <c r="A33" s="57">
        <f t="shared" si="0"/>
        <v>33</v>
      </c>
      <c r="B33" s="31"/>
      <c r="C33" s="28" t="str">
        <f>+'EMA R4'!C33</f>
        <v>Revenue Decoupling</v>
      </c>
      <c r="D33" s="37"/>
      <c r="E33" s="37"/>
      <c r="G33" s="55"/>
      <c r="H33" s="53">
        <v>6.0000000000000002E-5</v>
      </c>
      <c r="I33" s="53">
        <f t="shared" si="19"/>
        <v>6.0000000000000002E-5</v>
      </c>
      <c r="J33" s="53">
        <f t="shared" si="20"/>
        <v>6.0000000000000002E-5</v>
      </c>
      <c r="K33" s="37"/>
      <c r="L33" s="53">
        <f t="shared" si="21"/>
        <v>6.0000000000000002E-5</v>
      </c>
      <c r="M33" s="54">
        <f t="shared" si="22"/>
        <v>0</v>
      </c>
      <c r="N33" s="54"/>
      <c r="O33" s="54">
        <f t="shared" si="23"/>
        <v>0</v>
      </c>
      <c r="P33" s="54">
        <f t="shared" si="24"/>
        <v>0</v>
      </c>
      <c r="Q33" s="51" t="s">
        <v>64</v>
      </c>
    </row>
    <row r="34" spans="1:17" ht="14" x14ac:dyDescent="0.3">
      <c r="A34" s="57">
        <f t="shared" si="0"/>
        <v>34</v>
      </c>
      <c r="B34" s="31"/>
      <c r="C34" s="28" t="str">
        <f>+'EMA R4'!C34</f>
        <v>Distributed Solar Charge</v>
      </c>
      <c r="D34" s="37"/>
      <c r="E34" s="37"/>
      <c r="G34" s="55"/>
      <c r="H34" s="53">
        <v>8.0000000000000002E-3</v>
      </c>
      <c r="I34" s="53">
        <f t="shared" si="19"/>
        <v>8.0000000000000002E-3</v>
      </c>
      <c r="J34" s="53">
        <f t="shared" si="20"/>
        <v>8.0000000000000002E-3</v>
      </c>
      <c r="K34" s="37"/>
      <c r="L34" s="53">
        <f t="shared" si="21"/>
        <v>8.0000000000000002E-3</v>
      </c>
      <c r="M34" s="54">
        <f t="shared" si="22"/>
        <v>0</v>
      </c>
      <c r="N34" s="54"/>
      <c r="O34" s="54">
        <f t="shared" si="23"/>
        <v>0</v>
      </c>
      <c r="P34" s="54">
        <f t="shared" si="24"/>
        <v>0</v>
      </c>
      <c r="Q34" s="51" t="s">
        <v>66</v>
      </c>
    </row>
    <row r="35" spans="1:17" ht="14" x14ac:dyDescent="0.3">
      <c r="A35" s="57">
        <f t="shared" si="0"/>
        <v>35</v>
      </c>
      <c r="B35" s="31"/>
      <c r="C35" s="28" t="str">
        <f>+'EMA R4'!C35</f>
        <v>Residential Assistance Adjustment Factor</v>
      </c>
      <c r="D35" s="37"/>
      <c r="E35" s="37"/>
      <c r="G35" s="55"/>
      <c r="H35" s="53">
        <v>8.1600000000000006E-3</v>
      </c>
      <c r="I35" s="53">
        <f t="shared" si="19"/>
        <v>8.1600000000000006E-3</v>
      </c>
      <c r="J35" s="53">
        <f t="shared" si="20"/>
        <v>8.1600000000000006E-3</v>
      </c>
      <c r="K35" s="37"/>
      <c r="L35" s="53">
        <f t="shared" si="21"/>
        <v>8.1600000000000006E-3</v>
      </c>
      <c r="M35" s="54">
        <f t="shared" si="22"/>
        <v>0</v>
      </c>
      <c r="N35" s="54"/>
      <c r="O35" s="54">
        <f t="shared" si="23"/>
        <v>0</v>
      </c>
      <c r="P35" s="54">
        <f t="shared" si="24"/>
        <v>0</v>
      </c>
      <c r="Q35" s="51" t="s">
        <v>68</v>
      </c>
    </row>
    <row r="36" spans="1:17" ht="14" x14ac:dyDescent="0.3">
      <c r="A36" s="57">
        <f t="shared" si="0"/>
        <v>36</v>
      </c>
      <c r="B36" s="31"/>
      <c r="C36" s="28" t="str">
        <f>+'EMA R4'!C36</f>
        <v>Pension Adjustment Factor</v>
      </c>
      <c r="D36" s="37"/>
      <c r="E36" s="37"/>
      <c r="G36" s="55"/>
      <c r="H36" s="53">
        <v>8.5999999999999998E-4</v>
      </c>
      <c r="I36" s="53">
        <f t="shared" si="19"/>
        <v>8.5999999999999998E-4</v>
      </c>
      <c r="J36" s="53">
        <f t="shared" si="20"/>
        <v>8.5999999999999998E-4</v>
      </c>
      <c r="K36" s="37"/>
      <c r="L36" s="53">
        <f t="shared" si="21"/>
        <v>8.5999999999999998E-4</v>
      </c>
      <c r="M36" s="54">
        <f t="shared" si="22"/>
        <v>0</v>
      </c>
      <c r="N36" s="54"/>
      <c r="O36" s="54">
        <f t="shared" si="23"/>
        <v>0</v>
      </c>
      <c r="P36" s="54">
        <f t="shared" si="24"/>
        <v>0</v>
      </c>
      <c r="Q36" s="51" t="s">
        <v>70</v>
      </c>
    </row>
    <row r="37" spans="1:17" ht="14" x14ac:dyDescent="0.3">
      <c r="A37" s="57">
        <f t="shared" si="0"/>
        <v>37</v>
      </c>
      <c r="B37" s="31"/>
      <c r="C37" s="28" t="str">
        <f>+'EMA R4'!C37</f>
        <v>Net Metering Recovery Surcharge</v>
      </c>
      <c r="D37" s="37"/>
      <c r="E37" s="37"/>
      <c r="G37" s="55"/>
      <c r="H37" s="53">
        <v>1.6219999999999998E-2</v>
      </c>
      <c r="I37" s="53">
        <f t="shared" si="19"/>
        <v>1.6219999999999998E-2</v>
      </c>
      <c r="J37" s="53">
        <f t="shared" si="20"/>
        <v>1.6219999999999998E-2</v>
      </c>
      <c r="K37" s="37"/>
      <c r="L37" s="53">
        <f t="shared" si="21"/>
        <v>1.6219999999999998E-2</v>
      </c>
      <c r="M37" s="54">
        <f t="shared" si="22"/>
        <v>0</v>
      </c>
      <c r="N37" s="54"/>
      <c r="O37" s="54">
        <f t="shared" si="23"/>
        <v>0</v>
      </c>
      <c r="P37" s="54">
        <f t="shared" si="24"/>
        <v>0</v>
      </c>
      <c r="Q37" s="51" t="s">
        <v>72</v>
      </c>
    </row>
    <row r="38" spans="1:17" ht="14" x14ac:dyDescent="0.3">
      <c r="A38" s="57">
        <f t="shared" si="0"/>
        <v>38</v>
      </c>
      <c r="B38" s="31"/>
      <c r="C38" s="28" t="str">
        <f>+'EMA R4'!C38</f>
        <v>Long Term Renewable Contract Adjustment</v>
      </c>
      <c r="D38" s="37"/>
      <c r="E38" s="37"/>
      <c r="G38" s="55"/>
      <c r="H38" s="53">
        <v>-1.9300000000000001E-3</v>
      </c>
      <c r="I38" s="53">
        <f t="shared" si="19"/>
        <v>-1.9300000000000001E-3</v>
      </c>
      <c r="J38" s="53">
        <f t="shared" si="20"/>
        <v>-1.9300000000000001E-3</v>
      </c>
      <c r="K38" s="37"/>
      <c r="L38" s="53">
        <f t="shared" si="21"/>
        <v>-1.9300000000000001E-3</v>
      </c>
      <c r="M38" s="54">
        <f t="shared" si="22"/>
        <v>0</v>
      </c>
      <c r="N38" s="54"/>
      <c r="O38" s="54">
        <f t="shared" si="23"/>
        <v>0</v>
      </c>
      <c r="P38" s="54">
        <f t="shared" si="24"/>
        <v>0</v>
      </c>
      <c r="Q38" s="51" t="s">
        <v>74</v>
      </c>
    </row>
    <row r="39" spans="1:17" ht="14" x14ac:dyDescent="0.3">
      <c r="A39" s="57">
        <f t="shared" si="0"/>
        <v>39</v>
      </c>
      <c r="B39" s="31"/>
      <c r="C39" s="28" t="str">
        <f>+'EMA R4'!C39</f>
        <v>AG Consulting Expense</v>
      </c>
      <c r="D39" s="37"/>
      <c r="E39" s="37"/>
      <c r="G39" s="55"/>
      <c r="H39" s="53">
        <v>5.0000000000000002E-5</v>
      </c>
      <c r="I39" s="53">
        <f t="shared" si="19"/>
        <v>5.0000000000000002E-5</v>
      </c>
      <c r="J39" s="53">
        <f t="shared" si="20"/>
        <v>5.0000000000000002E-5</v>
      </c>
      <c r="K39" s="37"/>
      <c r="L39" s="53">
        <f t="shared" si="21"/>
        <v>5.0000000000000002E-5</v>
      </c>
      <c r="M39" s="54">
        <f t="shared" si="22"/>
        <v>0</v>
      </c>
      <c r="N39" s="54"/>
      <c r="O39" s="54">
        <f t="shared" si="23"/>
        <v>0</v>
      </c>
      <c r="P39" s="54">
        <f t="shared" si="24"/>
        <v>0</v>
      </c>
      <c r="Q39" s="51" t="s">
        <v>76</v>
      </c>
    </row>
    <row r="40" spans="1:17" ht="14" x14ac:dyDescent="0.3">
      <c r="A40" s="57">
        <f t="shared" si="0"/>
        <v>40</v>
      </c>
      <c r="B40" s="31"/>
      <c r="C40" s="28" t="str">
        <f>+'EMA R4'!C40</f>
        <v>Storm Cost Recovery Adjustment Factor</v>
      </c>
      <c r="D40" s="37"/>
      <c r="E40" s="37"/>
      <c r="G40" s="55"/>
      <c r="H40" s="53">
        <v>6.6299999999999996E-3</v>
      </c>
      <c r="I40" s="53">
        <f t="shared" si="19"/>
        <v>6.6299999999999996E-3</v>
      </c>
      <c r="J40" s="53">
        <f t="shared" si="20"/>
        <v>6.6299999999999996E-3</v>
      </c>
      <c r="K40" s="37"/>
      <c r="L40" s="53">
        <f t="shared" si="21"/>
        <v>6.6299999999999996E-3</v>
      </c>
      <c r="M40" s="54">
        <f t="shared" si="22"/>
        <v>0</v>
      </c>
      <c r="N40" s="54"/>
      <c r="O40" s="54">
        <f t="shared" si="23"/>
        <v>0</v>
      </c>
      <c r="P40" s="54">
        <f t="shared" si="24"/>
        <v>0</v>
      </c>
      <c r="Q40" s="51" t="s">
        <v>78</v>
      </c>
    </row>
    <row r="41" spans="1:17" ht="14" x14ac:dyDescent="0.3">
      <c r="A41" s="57">
        <f t="shared" si="0"/>
        <v>41</v>
      </c>
      <c r="B41" s="31"/>
      <c r="C41" s="28" t="str">
        <f>+'EMA R4'!C41</f>
        <v>Storm Reserve Adjustment</v>
      </c>
      <c r="D41" s="37"/>
      <c r="E41" s="37"/>
      <c r="G41" s="55"/>
      <c r="H41" s="53">
        <v>0</v>
      </c>
      <c r="I41" s="53">
        <f t="shared" si="19"/>
        <v>0</v>
      </c>
      <c r="J41" s="53">
        <f t="shared" si="20"/>
        <v>0</v>
      </c>
      <c r="K41" s="37"/>
      <c r="L41" s="53">
        <f t="shared" si="21"/>
        <v>0</v>
      </c>
      <c r="M41" s="54">
        <f t="shared" si="22"/>
        <v>0</v>
      </c>
      <c r="N41" s="54"/>
      <c r="O41" s="54">
        <f t="shared" si="23"/>
        <v>0</v>
      </c>
      <c r="P41" s="54">
        <f t="shared" si="24"/>
        <v>0</v>
      </c>
      <c r="Q41" s="51" t="s">
        <v>80</v>
      </c>
    </row>
    <row r="42" spans="1:17" ht="14" x14ac:dyDescent="0.3">
      <c r="A42" s="57">
        <f t="shared" si="0"/>
        <v>42</v>
      </c>
      <c r="B42" s="31"/>
      <c r="C42" s="28" t="str">
        <f>+'EMA R4'!C42</f>
        <v>Basic Service Cost True Up Factor</v>
      </c>
      <c r="D42" s="37"/>
      <c r="E42" s="37"/>
      <c r="G42" s="55"/>
      <c r="H42" s="53">
        <v>-4.6000000000000001E-4</v>
      </c>
      <c r="I42" s="53">
        <f t="shared" si="19"/>
        <v>-4.6000000000000001E-4</v>
      </c>
      <c r="J42" s="53">
        <f t="shared" si="20"/>
        <v>-4.6000000000000001E-4</v>
      </c>
      <c r="K42" s="37"/>
      <c r="L42" s="53">
        <f t="shared" si="21"/>
        <v>-4.6000000000000001E-4</v>
      </c>
      <c r="M42" s="54">
        <f t="shared" si="22"/>
        <v>0</v>
      </c>
      <c r="N42" s="54"/>
      <c r="O42" s="54">
        <f t="shared" si="23"/>
        <v>0</v>
      </c>
      <c r="P42" s="54">
        <f t="shared" si="24"/>
        <v>0</v>
      </c>
      <c r="Q42" s="51" t="s">
        <v>82</v>
      </c>
    </row>
    <row r="43" spans="1:17" ht="14" x14ac:dyDescent="0.3">
      <c r="A43" s="57">
        <f t="shared" si="0"/>
        <v>43</v>
      </c>
      <c r="B43" s="31"/>
      <c r="C43" s="28" t="str">
        <f>+'EMA R4'!C43</f>
        <v>Solar Program Cost Adjustment Factor</v>
      </c>
      <c r="D43" s="37"/>
      <c r="E43" s="37"/>
      <c r="G43" s="55"/>
      <c r="H43" s="53">
        <v>2.0000000000000002E-5</v>
      </c>
      <c r="I43" s="53">
        <f t="shared" si="19"/>
        <v>2.0000000000000002E-5</v>
      </c>
      <c r="J43" s="53">
        <f t="shared" si="20"/>
        <v>2.0000000000000002E-5</v>
      </c>
      <c r="K43" s="37"/>
      <c r="L43" s="53">
        <f t="shared" si="21"/>
        <v>2.0000000000000002E-5</v>
      </c>
      <c r="M43" s="54">
        <f t="shared" si="22"/>
        <v>0</v>
      </c>
      <c r="N43" s="54"/>
      <c r="O43" s="54">
        <f t="shared" si="23"/>
        <v>0</v>
      </c>
      <c r="P43" s="54">
        <f t="shared" si="24"/>
        <v>0</v>
      </c>
      <c r="Q43" s="51" t="s">
        <v>84</v>
      </c>
    </row>
    <row r="44" spans="1:17" ht="14" x14ac:dyDescent="0.3">
      <c r="A44" s="57">
        <f t="shared" si="0"/>
        <v>44</v>
      </c>
      <c r="B44" s="31"/>
      <c r="C44" s="28" t="str">
        <f>+'EMA R4'!C44</f>
        <v>Solar Expansion Cost Recovery Factor</v>
      </c>
      <c r="D44" s="37"/>
      <c r="E44" s="37"/>
      <c r="G44" s="55"/>
      <c r="H44" s="53">
        <v>-5.1000000000000004E-4</v>
      </c>
      <c r="I44" s="53">
        <f t="shared" si="19"/>
        <v>-5.1000000000000004E-4</v>
      </c>
      <c r="J44" s="53">
        <f t="shared" si="20"/>
        <v>-5.1000000000000004E-4</v>
      </c>
      <c r="K44" s="37"/>
      <c r="L44" s="53">
        <f t="shared" si="21"/>
        <v>-5.1000000000000004E-4</v>
      </c>
      <c r="M44" s="54">
        <f t="shared" si="22"/>
        <v>0</v>
      </c>
      <c r="N44" s="54"/>
      <c r="O44" s="54">
        <f t="shared" si="23"/>
        <v>0</v>
      </c>
      <c r="P44" s="54">
        <f t="shared" si="24"/>
        <v>0</v>
      </c>
      <c r="Q44" s="51" t="s">
        <v>86</v>
      </c>
    </row>
    <row r="45" spans="1:17" ht="14" x14ac:dyDescent="0.3">
      <c r="A45" s="57">
        <f t="shared" si="0"/>
        <v>45</v>
      </c>
      <c r="B45" s="31"/>
      <c r="C45" s="28" t="str">
        <f>+'EMA R4'!C45</f>
        <v>Vegetation Management</v>
      </c>
      <c r="D45" s="37"/>
      <c r="E45" s="37"/>
      <c r="G45" s="55"/>
      <c r="H45" s="53">
        <v>1.9300000000000001E-3</v>
      </c>
      <c r="I45" s="53">
        <f t="shared" si="19"/>
        <v>1.9300000000000001E-3</v>
      </c>
      <c r="J45" s="53">
        <f t="shared" si="20"/>
        <v>1.9300000000000001E-3</v>
      </c>
      <c r="K45" s="37"/>
      <c r="L45" s="53">
        <f t="shared" si="21"/>
        <v>1.9300000000000001E-3</v>
      </c>
      <c r="M45" s="54">
        <f t="shared" si="22"/>
        <v>0</v>
      </c>
      <c r="N45" s="54"/>
      <c r="O45" s="54">
        <f t="shared" si="23"/>
        <v>0</v>
      </c>
      <c r="P45" s="54">
        <f t="shared" si="24"/>
        <v>0</v>
      </c>
      <c r="Q45" s="51" t="s">
        <v>88</v>
      </c>
    </row>
    <row r="46" spans="1:17" ht="14" x14ac:dyDescent="0.3">
      <c r="A46" s="57">
        <f t="shared" si="0"/>
        <v>46</v>
      </c>
      <c r="B46" s="31"/>
      <c r="C46" s="28" t="str">
        <f>+'EMA R4'!C46</f>
        <v>Tax Act Credit Factor</v>
      </c>
      <c r="D46" s="37"/>
      <c r="E46" s="37"/>
      <c r="G46" s="55"/>
      <c r="H46" s="53">
        <v>-1.8E-3</v>
      </c>
      <c r="I46" s="53">
        <f t="shared" si="19"/>
        <v>-1.8E-3</v>
      </c>
      <c r="J46" s="53">
        <f t="shared" si="20"/>
        <v>-1.8E-3</v>
      </c>
      <c r="K46" s="37"/>
      <c r="L46" s="53">
        <f t="shared" si="21"/>
        <v>-1.8E-3</v>
      </c>
      <c r="M46" s="54">
        <f t="shared" si="22"/>
        <v>0</v>
      </c>
      <c r="N46" s="54"/>
      <c r="O46" s="54">
        <f t="shared" si="23"/>
        <v>0</v>
      </c>
      <c r="P46" s="54">
        <f t="shared" si="24"/>
        <v>0</v>
      </c>
      <c r="Q46" s="51" t="s">
        <v>90</v>
      </c>
    </row>
    <row r="47" spans="1:17" ht="14" x14ac:dyDescent="0.3">
      <c r="A47" s="57">
        <f t="shared" si="0"/>
        <v>47</v>
      </c>
      <c r="B47" s="31"/>
      <c r="C47" s="28" t="str">
        <f>+'EMA R4'!C47</f>
        <v>Grid Modernization</v>
      </c>
      <c r="D47" s="37"/>
      <c r="E47" s="37"/>
      <c r="G47" s="55"/>
      <c r="H47" s="53">
        <v>2.2100000000000002E-3</v>
      </c>
      <c r="I47" s="53">
        <f t="shared" si="19"/>
        <v>2.2100000000000002E-3</v>
      </c>
      <c r="J47" s="53">
        <f t="shared" si="20"/>
        <v>2.2100000000000002E-3</v>
      </c>
      <c r="K47" s="37"/>
      <c r="L47" s="53">
        <f t="shared" si="21"/>
        <v>2.2100000000000002E-3</v>
      </c>
      <c r="M47" s="54">
        <f t="shared" si="22"/>
        <v>0</v>
      </c>
      <c r="N47" s="54"/>
      <c r="O47" s="54">
        <f t="shared" si="23"/>
        <v>0</v>
      </c>
      <c r="P47" s="54">
        <f t="shared" si="24"/>
        <v>0</v>
      </c>
      <c r="Q47" s="51" t="s">
        <v>92</v>
      </c>
    </row>
    <row r="48" spans="1:17" ht="14" x14ac:dyDescent="0.3">
      <c r="A48" s="57">
        <f t="shared" si="0"/>
        <v>48</v>
      </c>
      <c r="B48" s="31"/>
      <c r="C48" s="28" t="str">
        <f>+'EMA R4'!C48</f>
        <v>Advanced Metering Infrastructure</v>
      </c>
      <c r="D48" s="37"/>
      <c r="E48" s="37"/>
      <c r="G48" s="55"/>
      <c r="H48" s="53">
        <v>2.9399999999999999E-3</v>
      </c>
      <c r="I48" s="53">
        <f t="shared" si="19"/>
        <v>2.9399999999999999E-3</v>
      </c>
      <c r="J48" s="53">
        <f t="shared" si="20"/>
        <v>2.9399999999999999E-3</v>
      </c>
      <c r="K48" s="37"/>
      <c r="L48" s="53">
        <f t="shared" si="21"/>
        <v>2.9399999999999999E-3</v>
      </c>
      <c r="M48" s="54">
        <f t="shared" si="22"/>
        <v>0</v>
      </c>
      <c r="N48" s="54"/>
      <c r="O48" s="54">
        <f t="shared" si="23"/>
        <v>0</v>
      </c>
      <c r="P48" s="54">
        <f t="shared" si="24"/>
        <v>0</v>
      </c>
      <c r="Q48" s="51" t="s">
        <v>94</v>
      </c>
    </row>
    <row r="49" spans="1:17" ht="14" x14ac:dyDescent="0.3">
      <c r="A49" s="57">
        <f t="shared" si="0"/>
        <v>49</v>
      </c>
      <c r="B49" s="31"/>
      <c r="C49" s="28" t="str">
        <f>+'EMA R4'!C49</f>
        <v>Electronic Payment Recovery</v>
      </c>
      <c r="D49" s="37"/>
      <c r="E49" s="37"/>
      <c r="G49" s="55"/>
      <c r="H49" s="53">
        <v>0</v>
      </c>
      <c r="I49" s="53">
        <f t="shared" si="19"/>
        <v>0</v>
      </c>
      <c r="J49" s="53">
        <f t="shared" si="20"/>
        <v>0</v>
      </c>
      <c r="K49" s="37"/>
      <c r="L49" s="53">
        <f t="shared" si="21"/>
        <v>0</v>
      </c>
      <c r="M49" s="54">
        <f t="shared" si="22"/>
        <v>0</v>
      </c>
      <c r="N49" s="54"/>
      <c r="O49" s="54">
        <f t="shared" si="23"/>
        <v>0</v>
      </c>
      <c r="P49" s="54">
        <f t="shared" si="24"/>
        <v>0</v>
      </c>
      <c r="Q49" s="51" t="s">
        <v>96</v>
      </c>
    </row>
    <row r="50" spans="1:17" ht="14" x14ac:dyDescent="0.3">
      <c r="A50" s="57">
        <f t="shared" si="0"/>
        <v>50</v>
      </c>
      <c r="B50" s="31"/>
      <c r="C50" s="28" t="str">
        <f>+'EMA R4'!C50</f>
        <v>Provisional System Planning Factor</v>
      </c>
      <c r="D50" s="37"/>
      <c r="E50" s="37"/>
      <c r="G50" s="55"/>
      <c r="H50" s="53">
        <v>0</v>
      </c>
      <c r="I50" s="53">
        <f t="shared" si="19"/>
        <v>0</v>
      </c>
      <c r="J50" s="53">
        <f t="shared" si="20"/>
        <v>0</v>
      </c>
      <c r="K50" s="37"/>
      <c r="L50" s="53">
        <f t="shared" si="21"/>
        <v>0</v>
      </c>
      <c r="M50" s="54">
        <f t="shared" si="22"/>
        <v>0</v>
      </c>
      <c r="N50" s="54"/>
      <c r="O50" s="54">
        <f t="shared" si="23"/>
        <v>0</v>
      </c>
      <c r="P50" s="54">
        <f t="shared" si="24"/>
        <v>0</v>
      </c>
      <c r="Q50" s="51" t="s">
        <v>98</v>
      </c>
    </row>
    <row r="51" spans="1:17" ht="14" x14ac:dyDescent="0.3">
      <c r="A51" s="57">
        <f t="shared" si="0"/>
        <v>51</v>
      </c>
      <c r="B51" s="31"/>
      <c r="C51" s="28" t="str">
        <f>+'EMA R4'!C51</f>
        <v>Electric Vehicle Factor</v>
      </c>
      <c r="D51" s="37"/>
      <c r="E51" s="37"/>
      <c r="G51" s="55"/>
      <c r="H51" s="53">
        <v>1.3799999999999999E-3</v>
      </c>
      <c r="I51" s="53">
        <f t="shared" si="19"/>
        <v>1.3799999999999999E-3</v>
      </c>
      <c r="J51" s="53">
        <f t="shared" si="20"/>
        <v>1.3799999999999999E-3</v>
      </c>
      <c r="K51" s="37"/>
      <c r="L51" s="53">
        <f t="shared" si="21"/>
        <v>1.3799999999999999E-3</v>
      </c>
      <c r="M51" s="54">
        <f t="shared" si="22"/>
        <v>0</v>
      </c>
      <c r="N51" s="54"/>
      <c r="O51" s="54">
        <f t="shared" si="23"/>
        <v>0</v>
      </c>
      <c r="P51" s="54">
        <f t="shared" si="24"/>
        <v>0</v>
      </c>
      <c r="Q51" s="51" t="s">
        <v>100</v>
      </c>
    </row>
    <row r="52" spans="1:17" ht="14" x14ac:dyDescent="0.3">
      <c r="A52" s="57">
        <f t="shared" si="0"/>
        <v>52</v>
      </c>
      <c r="B52" s="31"/>
      <c r="C52" s="28" t="str">
        <f>+'EMA R4'!C52</f>
        <v>Transition</v>
      </c>
      <c r="D52" s="37"/>
      <c r="E52" s="37"/>
      <c r="G52" s="55"/>
      <c r="H52" s="53">
        <v>-3.6999999999999999E-4</v>
      </c>
      <c r="I52" s="53">
        <f t="shared" si="19"/>
        <v>-3.6999999999999999E-4</v>
      </c>
      <c r="J52" s="53">
        <f t="shared" si="20"/>
        <v>-3.6999999999999999E-4</v>
      </c>
      <c r="K52" s="37"/>
      <c r="L52" s="53">
        <f t="shared" si="21"/>
        <v>-3.6999999999999999E-4</v>
      </c>
      <c r="M52" s="54">
        <f t="shared" si="22"/>
        <v>0</v>
      </c>
      <c r="N52" s="54"/>
      <c r="O52" s="54">
        <f t="shared" si="23"/>
        <v>0</v>
      </c>
      <c r="P52" s="54">
        <f t="shared" si="24"/>
        <v>0</v>
      </c>
      <c r="Q52" s="51" t="s">
        <v>102</v>
      </c>
    </row>
    <row r="53" spans="1:17" ht="14" x14ac:dyDescent="0.3">
      <c r="A53" s="57">
        <f t="shared" si="0"/>
        <v>53</v>
      </c>
      <c r="B53" s="31"/>
      <c r="C53" s="28" t="str">
        <f>+'EMA R4'!C53</f>
        <v>Transmission Energy</v>
      </c>
      <c r="D53" s="37"/>
      <c r="E53" s="37"/>
      <c r="G53" s="55"/>
      <c r="H53" s="53">
        <v>4.052E-2</v>
      </c>
      <c r="I53" s="53">
        <f t="shared" si="19"/>
        <v>4.052E-2</v>
      </c>
      <c r="J53" s="53">
        <f t="shared" si="20"/>
        <v>4.052E-2</v>
      </c>
      <c r="K53" s="37"/>
      <c r="L53" s="53">
        <f t="shared" si="21"/>
        <v>4.052E-2</v>
      </c>
      <c r="M53" s="54">
        <f t="shared" si="22"/>
        <v>0</v>
      </c>
      <c r="N53" s="54"/>
      <c r="O53" s="54">
        <f t="shared" si="23"/>
        <v>0</v>
      </c>
      <c r="P53" s="54">
        <f t="shared" si="24"/>
        <v>0</v>
      </c>
      <c r="Q53" s="51" t="s">
        <v>104</v>
      </c>
    </row>
    <row r="54" spans="1:17" ht="14" x14ac:dyDescent="0.3">
      <c r="A54" s="57">
        <f t="shared" si="0"/>
        <v>54</v>
      </c>
      <c r="B54" s="31"/>
      <c r="C54" s="28" t="str">
        <f>+'EMA R4'!C54</f>
        <v>Energy Efficiency Reconciliation Factor</v>
      </c>
      <c r="D54" s="37"/>
      <c r="E54" s="37"/>
      <c r="G54" s="55"/>
      <c r="H54" s="53">
        <v>2.861E-2</v>
      </c>
      <c r="I54" s="53">
        <v>3.7179999999999998E-2</v>
      </c>
      <c r="J54" s="53">
        <v>3.9489999999999997E-2</v>
      </c>
      <c r="K54" s="53"/>
      <c r="L54" s="53">
        <v>4.3970000000000002E-2</v>
      </c>
      <c r="M54" s="54">
        <f t="shared" si="22"/>
        <v>8.5699999999999978E-3</v>
      </c>
      <c r="N54" s="54"/>
      <c r="O54" s="54">
        <f t="shared" si="23"/>
        <v>2.3099999999999996E-3</v>
      </c>
      <c r="P54" s="54">
        <f t="shared" si="24"/>
        <v>4.4800000000000048E-3</v>
      </c>
      <c r="Q54" s="51" t="s">
        <v>106</v>
      </c>
    </row>
    <row r="55" spans="1:17" ht="14" x14ac:dyDescent="0.3">
      <c r="A55" s="57">
        <f t="shared" si="0"/>
        <v>55</v>
      </c>
      <c r="B55" s="31"/>
      <c r="C55" s="28" t="str">
        <f>+'EMA R4'!C55</f>
        <v>System Benefits Charge</v>
      </c>
      <c r="D55" s="37"/>
      <c r="E55" s="37"/>
      <c r="G55" s="55"/>
      <c r="H55" s="53">
        <v>2.5000000000000001E-3</v>
      </c>
      <c r="I55" s="53">
        <f t="shared" si="19"/>
        <v>2.5000000000000001E-3</v>
      </c>
      <c r="J55" s="53">
        <f t="shared" si="20"/>
        <v>2.5000000000000001E-3</v>
      </c>
      <c r="K55" s="37"/>
      <c r="L55" s="53">
        <f t="shared" si="21"/>
        <v>2.5000000000000001E-3</v>
      </c>
      <c r="M55" s="54">
        <f t="shared" si="22"/>
        <v>0</v>
      </c>
      <c r="N55" s="54"/>
      <c r="O55" s="54">
        <f t="shared" si="23"/>
        <v>0</v>
      </c>
      <c r="P55" s="54">
        <f t="shared" si="24"/>
        <v>0</v>
      </c>
      <c r="Q55" s="51" t="s">
        <v>108</v>
      </c>
    </row>
    <row r="56" spans="1:17" ht="14" x14ac:dyDescent="0.3">
      <c r="A56" s="57">
        <f t="shared" si="0"/>
        <v>56</v>
      </c>
      <c r="B56" s="31"/>
      <c r="C56" s="28" t="str">
        <f>+'EMA R4'!C56</f>
        <v>Renewable Energy Charge</v>
      </c>
      <c r="D56" s="37"/>
      <c r="E56" s="37"/>
      <c r="G56" s="55"/>
      <c r="H56" s="53">
        <v>5.0000000000000001E-4</v>
      </c>
      <c r="I56" s="53">
        <f t="shared" si="19"/>
        <v>5.0000000000000001E-4</v>
      </c>
      <c r="J56" s="53">
        <f t="shared" si="20"/>
        <v>5.0000000000000001E-4</v>
      </c>
      <c r="K56" s="37"/>
      <c r="L56" s="53">
        <f t="shared" si="21"/>
        <v>5.0000000000000001E-4</v>
      </c>
      <c r="M56" s="54">
        <f t="shared" si="22"/>
        <v>0</v>
      </c>
      <c r="N56" s="54"/>
      <c r="O56" s="54">
        <f t="shared" si="23"/>
        <v>0</v>
      </c>
      <c r="P56" s="54">
        <f t="shared" si="24"/>
        <v>0</v>
      </c>
      <c r="Q56" s="51" t="s">
        <v>110</v>
      </c>
    </row>
    <row r="57" spans="1:17" ht="14" x14ac:dyDescent="0.3">
      <c r="A57" s="57">
        <f t="shared" si="0"/>
        <v>57</v>
      </c>
      <c r="B57" s="31"/>
      <c r="C57" s="28" t="str">
        <f>+'EMA R4'!C57</f>
        <v>Basic Service Charge</v>
      </c>
      <c r="D57" s="37"/>
      <c r="E57" s="37"/>
      <c r="G57" s="55"/>
      <c r="H57" s="53">
        <v>0.14022999999999999</v>
      </c>
      <c r="I57" s="53">
        <f t="shared" si="19"/>
        <v>0.14022999999999999</v>
      </c>
      <c r="J57" s="53">
        <f t="shared" si="20"/>
        <v>0.14022999999999999</v>
      </c>
      <c r="K57" s="37"/>
      <c r="L57" s="53">
        <f t="shared" si="21"/>
        <v>0.14022999999999999</v>
      </c>
      <c r="M57" s="54">
        <f t="shared" si="22"/>
        <v>0</v>
      </c>
      <c r="N57" s="54"/>
      <c r="O57" s="54">
        <f t="shared" si="23"/>
        <v>0</v>
      </c>
      <c r="P57" s="54">
        <f t="shared" si="24"/>
        <v>0</v>
      </c>
      <c r="Q57" s="51" t="s">
        <v>112</v>
      </c>
    </row>
    <row r="58" spans="1:17" ht="14" x14ac:dyDescent="0.3">
      <c r="A58" s="57">
        <f t="shared" si="0"/>
        <v>58</v>
      </c>
      <c r="B58" s="31"/>
      <c r="C58" s="28" t="str">
        <f>+'EMA R4'!C58</f>
        <v>Low Income Discount</v>
      </c>
      <c r="D58" s="37"/>
      <c r="E58" s="37"/>
      <c r="G58" s="55"/>
      <c r="H58" s="65">
        <v>0.42</v>
      </c>
      <c r="I58" s="65">
        <f t="shared" si="19"/>
        <v>0.42</v>
      </c>
      <c r="J58" s="65">
        <f t="shared" si="20"/>
        <v>0.42</v>
      </c>
      <c r="K58" s="37"/>
      <c r="L58" s="65">
        <f t="shared" si="21"/>
        <v>0.42</v>
      </c>
      <c r="M58" s="64">
        <f t="shared" si="22"/>
        <v>0</v>
      </c>
      <c r="N58" s="64"/>
      <c r="O58" s="64">
        <f t="shared" si="23"/>
        <v>0</v>
      </c>
      <c r="P58" s="64">
        <f t="shared" si="24"/>
        <v>0</v>
      </c>
      <c r="Q58" s="51" t="s">
        <v>59</v>
      </c>
    </row>
    <row r="59" spans="1:17" ht="14" x14ac:dyDescent="0.3">
      <c r="A59" s="31"/>
      <c r="B59" s="31"/>
      <c r="C59" s="28"/>
      <c r="D59" s="37"/>
      <c r="E59" s="37"/>
      <c r="G59" s="55"/>
      <c r="H59" s="55"/>
      <c r="I59" s="55"/>
      <c r="J59" s="55"/>
      <c r="K59" s="37"/>
      <c r="L59" s="37"/>
    </row>
    <row r="60" spans="1:17" ht="14" x14ac:dyDescent="0.3">
      <c r="A60" s="31"/>
      <c r="B60" s="31"/>
      <c r="D60" s="37"/>
      <c r="E60" s="37"/>
      <c r="G60" s="55"/>
      <c r="H60" s="55"/>
      <c r="I60" s="55"/>
      <c r="J60" s="55"/>
      <c r="K60" s="37"/>
      <c r="L60" s="37"/>
    </row>
    <row r="61" spans="1:17" ht="14" x14ac:dyDescent="0.3">
      <c r="A61" s="31"/>
      <c r="B61" s="31"/>
      <c r="C61" s="28" t="s">
        <v>113</v>
      </c>
      <c r="D61" s="37"/>
      <c r="E61" s="37"/>
      <c r="G61" s="55"/>
      <c r="H61" s="55">
        <f>SUM(H31:H56)</f>
        <v>0.16949</v>
      </c>
      <c r="I61" s="55">
        <f>SUM(I31:I56)</f>
        <v>0.17806</v>
      </c>
      <c r="J61" s="55">
        <f>SUM(J31:J56)</f>
        <v>0.18037</v>
      </c>
      <c r="K61" s="37"/>
      <c r="L61" s="55">
        <f>SUM(L31:L56)</f>
        <v>0.18485000000000001</v>
      </c>
    </row>
    <row r="62" spans="1:17" ht="14" x14ac:dyDescent="0.3">
      <c r="C62" s="28" t="s">
        <v>114</v>
      </c>
      <c r="D62" s="37"/>
      <c r="E62" s="37"/>
      <c r="G62" s="55"/>
      <c r="H62" s="55">
        <f>H57</f>
        <v>0.14022999999999999</v>
      </c>
      <c r="I62" s="55">
        <f>I57</f>
        <v>0.14022999999999999</v>
      </c>
      <c r="J62" s="55">
        <f>J57</f>
        <v>0.14022999999999999</v>
      </c>
      <c r="L62" s="55">
        <f>L57</f>
        <v>0.14022999999999999</v>
      </c>
    </row>
  </sheetData>
  <mergeCells count="7">
    <mergeCell ref="Z10:AA10"/>
    <mergeCell ref="D10:F10"/>
    <mergeCell ref="H10:J10"/>
    <mergeCell ref="L10:M10"/>
    <mergeCell ref="O10:Q10"/>
    <mergeCell ref="S10:T10"/>
    <mergeCell ref="V10:X10"/>
  </mergeCells>
  <pageMargins left="0.7" right="0.7" top="0.75" bottom="0.75" header="0.3" footer="0.3"/>
  <pageSetup scale="37" fitToHeight="2" orientation="portrait" r:id="rId1"/>
  <headerFooter>
    <oddHeader>&amp;R&amp;"Times New Roman,Regular"NSTAR Electric Company 
d/b/a Eversource Energy
D.P.U. 24-149
Exhibit Eversource Energy-6 (Revised)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Summary</vt:lpstr>
      <vt:lpstr>EMA R1</vt:lpstr>
      <vt:lpstr>WMA R1</vt:lpstr>
      <vt:lpstr>EMA R2</vt:lpstr>
      <vt:lpstr>WMA R2</vt:lpstr>
      <vt:lpstr>EMA R3</vt:lpstr>
      <vt:lpstr>WMA R3</vt:lpstr>
      <vt:lpstr>EMA R4</vt:lpstr>
      <vt:lpstr>WMA R4</vt:lpstr>
      <vt:lpstr>WMA 23</vt:lpstr>
      <vt:lpstr>WMA 24</vt:lpstr>
      <vt:lpstr>BOS G1ND</vt:lpstr>
      <vt:lpstr>CAMB G1</vt:lpstr>
      <vt:lpstr>SOUTH G1</vt:lpstr>
      <vt:lpstr>WMA G1ND</vt:lpstr>
      <vt:lpstr>BOS G1D</vt:lpstr>
      <vt:lpstr>WMA G1D</vt:lpstr>
      <vt:lpstr>SOUTH G4</vt:lpstr>
      <vt:lpstr>CAMB G5</vt:lpstr>
      <vt:lpstr>SOUTH G6</vt:lpstr>
      <vt:lpstr>CAMB G6</vt:lpstr>
      <vt:lpstr>SOUTH G7</vt:lpstr>
      <vt:lpstr>BOS T1</vt:lpstr>
      <vt:lpstr>BOS G2 NEMA</vt:lpstr>
      <vt:lpstr>BOS G2 SEMA</vt:lpstr>
      <vt:lpstr>CAMB G2</vt:lpstr>
      <vt:lpstr>SOUTH G2</vt:lpstr>
      <vt:lpstr>WMA G2</vt:lpstr>
      <vt:lpstr>WMA T4</vt:lpstr>
      <vt:lpstr>BOS G3 NEMA</vt:lpstr>
      <vt:lpstr>BOS G3 SEMA</vt:lpstr>
      <vt:lpstr>CAMB G3</vt:lpstr>
      <vt:lpstr>SOUTH G3</vt:lpstr>
      <vt:lpstr>WMA G3</vt:lpstr>
      <vt:lpstr>WMA T5</vt:lpstr>
      <vt:lpstr>Summary -Particpant</vt:lpstr>
      <vt:lpstr>'BOS G1D'!Print_Area</vt:lpstr>
      <vt:lpstr>'BOS G1ND'!Print_Area</vt:lpstr>
      <vt:lpstr>'BOS G2 NEMA'!Print_Area</vt:lpstr>
      <vt:lpstr>'BOS G2 SEMA'!Print_Area</vt:lpstr>
      <vt:lpstr>'BOS G3 NEMA'!Print_Area</vt:lpstr>
      <vt:lpstr>'BOS G3 SEMA'!Print_Area</vt:lpstr>
      <vt:lpstr>'BOS T1'!Print_Area</vt:lpstr>
      <vt:lpstr>'CAMB G1'!Print_Area</vt:lpstr>
      <vt:lpstr>'CAMB G2'!Print_Area</vt:lpstr>
      <vt:lpstr>'CAMB G3'!Print_Area</vt:lpstr>
      <vt:lpstr>'CAMB G5'!Print_Area</vt:lpstr>
      <vt:lpstr>'CAMB G6'!Print_Area</vt:lpstr>
      <vt:lpstr>'EMA R1'!Print_Area</vt:lpstr>
      <vt:lpstr>'EMA R2'!Print_Area</vt:lpstr>
      <vt:lpstr>'EMA R3'!Print_Area</vt:lpstr>
      <vt:lpstr>'EMA R4'!Print_Area</vt:lpstr>
      <vt:lpstr>'SOUTH G1'!Print_Area</vt:lpstr>
      <vt:lpstr>'SOUTH G2'!Print_Area</vt:lpstr>
      <vt:lpstr>'SOUTH G3'!Print_Area</vt:lpstr>
      <vt:lpstr>'SOUTH G4'!Print_Area</vt:lpstr>
      <vt:lpstr>'SOUTH G6'!Print_Area</vt:lpstr>
      <vt:lpstr>'SOUTH G7'!Print_Area</vt:lpstr>
      <vt:lpstr>'WMA 23'!Print_Area</vt:lpstr>
      <vt:lpstr>'WMA 24'!Print_Area</vt:lpstr>
      <vt:lpstr>'WMA G1D'!Print_Area</vt:lpstr>
      <vt:lpstr>'WMA G1ND'!Print_Area</vt:lpstr>
      <vt:lpstr>'WMA G2'!Print_Area</vt:lpstr>
      <vt:lpstr>'WMA G3'!Print_Area</vt:lpstr>
      <vt:lpstr>'WMA R1'!Print_Area</vt:lpstr>
      <vt:lpstr>'WMA R2'!Print_Area</vt:lpstr>
      <vt:lpstr>'WMA R3'!Print_Area</vt:lpstr>
      <vt:lpstr>'WMA R4'!Print_Area</vt:lpstr>
      <vt:lpstr>'WMA T4'!Print_Area</vt:lpstr>
      <vt:lpstr>'WMA T5'!Print_Area</vt:lpstr>
      <vt:lpstr>Summary!Print_Titles</vt:lpstr>
      <vt:lpstr>'Summary -Particpant'!Print_Titles</vt:lpstr>
    </vt:vector>
  </TitlesOfParts>
  <Company>EVERSOURCE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Quan, Mary</dc:creator>
  <cp:lastModifiedBy>Quan, Mary</cp:lastModifiedBy>
  <dcterms:created xsi:type="dcterms:W3CDTF">2024-11-01T19:00:46Z</dcterms:created>
  <dcterms:modified xsi:type="dcterms:W3CDTF">2024-11-01T19:03:02Z</dcterms:modified>
</cp:coreProperties>
</file>